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2120" windowHeight="8010"/>
  </bookViews>
  <sheets>
    <sheet name="13.01" sheetId="5" r:id="rId1"/>
    <sheet name="13.02" sheetId="2" r:id="rId2"/>
    <sheet name="13.01(delete)" sheetId="1" state="hidden" r:id="rId3"/>
    <sheet name="13.03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'13.01(delete)'!$A$1:$M$76</definedName>
    <definedName name="_xlnm.Print_Area" localSheetId="1">'13.02'!$A$1:$I$55</definedName>
  </definedNames>
  <calcPr calcId="145621"/>
</workbook>
</file>

<file path=xl/calcChain.xml><?xml version="1.0" encoding="utf-8"?>
<calcChain xmlns="http://schemas.openxmlformats.org/spreadsheetml/2006/main">
  <c r="H30" i="6" l="1"/>
  <c r="G30" i="6"/>
  <c r="F30" i="6"/>
  <c r="G53" i="5" l="1"/>
  <c r="C15" i="5"/>
  <c r="C21" i="5"/>
  <c r="C14" i="5"/>
  <c r="C13" i="5"/>
  <c r="C29" i="5"/>
  <c r="C38" i="5"/>
  <c r="C28" i="5"/>
  <c r="C45" i="5"/>
  <c r="C47" i="5"/>
  <c r="C48" i="5"/>
  <c r="C54" i="5"/>
  <c r="D15" i="5"/>
  <c r="D21" i="5"/>
  <c r="D14" i="5"/>
  <c r="D13" i="5"/>
  <c r="D29" i="5"/>
  <c r="D38" i="5"/>
  <c r="D28" i="5"/>
  <c r="D45" i="5"/>
  <c r="D47" i="5"/>
  <c r="D48" i="5"/>
  <c r="D54" i="5"/>
  <c r="E15" i="5"/>
  <c r="E21" i="5"/>
  <c r="E14" i="5"/>
  <c r="E13" i="5"/>
  <c r="E29" i="5"/>
  <c r="E38" i="5"/>
  <c r="E28" i="5"/>
  <c r="E45" i="5"/>
  <c r="E47" i="5"/>
  <c r="E48" i="5"/>
  <c r="E54" i="5"/>
  <c r="G54" i="5"/>
  <c r="G52" i="5"/>
  <c r="G51" i="5"/>
  <c r="G50" i="5"/>
  <c r="G48" i="5"/>
  <c r="G47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O51" i="2"/>
  <c r="O50" i="2"/>
  <c r="O49" i="2"/>
  <c r="O48" i="2"/>
  <c r="H32" i="2"/>
  <c r="G32" i="2"/>
  <c r="H31" i="2"/>
  <c r="G31" i="2"/>
  <c r="H30" i="2"/>
  <c r="G30" i="2"/>
  <c r="J29" i="2"/>
  <c r="H29" i="2"/>
  <c r="H28" i="2"/>
  <c r="G29" i="2"/>
  <c r="G28" i="2"/>
  <c r="H26" i="2"/>
  <c r="G26" i="2"/>
  <c r="H25" i="2"/>
  <c r="G25" i="2"/>
  <c r="H24" i="2"/>
  <c r="G24" i="2"/>
  <c r="H23" i="2"/>
  <c r="G23" i="2"/>
  <c r="J22" i="2"/>
  <c r="H22" i="2"/>
  <c r="G22" i="2"/>
  <c r="H21" i="2"/>
  <c r="G21" i="2"/>
  <c r="K20" i="2"/>
  <c r="H20" i="2"/>
  <c r="G20" i="2"/>
  <c r="H19" i="2"/>
  <c r="G19" i="2"/>
  <c r="H18" i="2"/>
  <c r="G18" i="2"/>
  <c r="K17" i="2"/>
  <c r="H17" i="2"/>
  <c r="G17" i="2"/>
  <c r="H16" i="2"/>
  <c r="G16" i="2"/>
  <c r="H13" i="2"/>
  <c r="G13" i="2"/>
  <c r="F52" i="5"/>
  <c r="F42" i="5"/>
  <c r="F41" i="5"/>
  <c r="F40" i="5"/>
  <c r="F39" i="5"/>
  <c r="F38" i="5" s="1"/>
  <c r="F37" i="5"/>
  <c r="F35" i="5"/>
  <c r="F34" i="5"/>
  <c r="F33" i="5"/>
  <c r="F32" i="5"/>
  <c r="F31" i="5"/>
  <c r="F30" i="5"/>
  <c r="F29" i="5" s="1"/>
  <c r="F25" i="5"/>
  <c r="F24" i="5"/>
  <c r="F23" i="5"/>
  <c r="F21" i="5" s="1"/>
  <c r="F22" i="5"/>
  <c r="F20" i="5"/>
  <c r="F19" i="5"/>
  <c r="F18" i="5"/>
  <c r="F17" i="5"/>
  <c r="F16" i="5"/>
  <c r="F15" i="5" s="1"/>
  <c r="F14" i="5" s="1"/>
  <c r="F48" i="5"/>
  <c r="D43" i="5"/>
  <c r="C44" i="5"/>
  <c r="E44" i="5"/>
  <c r="D44" i="5"/>
  <c r="E43" i="5"/>
  <c r="C43" i="5"/>
  <c r="Q83" i="1"/>
  <c r="P83" i="1"/>
  <c r="P82" i="1"/>
  <c r="P81" i="1"/>
  <c r="P80" i="1"/>
  <c r="P79" i="1"/>
  <c r="P78" i="1"/>
  <c r="P77" i="1"/>
  <c r="P48" i="1"/>
  <c r="O43" i="1"/>
  <c r="L43" i="1"/>
  <c r="Q82" i="1"/>
  <c r="G43" i="1"/>
  <c r="O42" i="1"/>
  <c r="N42" i="1"/>
  <c r="L42" i="1"/>
  <c r="Q81" i="1"/>
  <c r="G42" i="1"/>
  <c r="P42" i="1"/>
  <c r="O41" i="1"/>
  <c r="N41" i="1"/>
  <c r="L41" i="1"/>
  <c r="Q80" i="1"/>
  <c r="G41" i="1"/>
  <c r="P41" i="1"/>
  <c r="O40" i="1"/>
  <c r="L40" i="1"/>
  <c r="Q79" i="1"/>
  <c r="G40" i="1"/>
  <c r="O39" i="1"/>
  <c r="O38" i="1"/>
  <c r="L38" i="1"/>
  <c r="Q78" i="1"/>
  <c r="G38" i="1"/>
  <c r="O37" i="1"/>
  <c r="L37" i="1"/>
  <c r="Q77" i="1"/>
  <c r="G37" i="1"/>
  <c r="O36" i="1"/>
  <c r="L36" i="1"/>
  <c r="G36" i="1"/>
  <c r="O35" i="1"/>
  <c r="L35" i="1"/>
  <c r="G35" i="1"/>
  <c r="O34" i="1"/>
  <c r="L34" i="1"/>
  <c r="G34" i="1"/>
  <c r="O33" i="1"/>
  <c r="O32" i="1"/>
  <c r="L32" i="1"/>
  <c r="F32" i="1"/>
  <c r="G32" i="1"/>
  <c r="H31" i="1"/>
  <c r="L31" i="1"/>
  <c r="E31" i="1"/>
  <c r="D31" i="1"/>
  <c r="O31" i="1"/>
  <c r="L30" i="1"/>
  <c r="D30" i="1"/>
  <c r="O30" i="1"/>
  <c r="L29" i="1"/>
  <c r="D29" i="1"/>
  <c r="O29" i="1"/>
  <c r="P28" i="1"/>
  <c r="O28" i="1"/>
  <c r="L28" i="1"/>
  <c r="G28" i="1"/>
  <c r="O27" i="1"/>
  <c r="O26" i="1"/>
  <c r="L26" i="1"/>
  <c r="G26" i="1"/>
  <c r="O25" i="1"/>
  <c r="L25" i="1"/>
  <c r="G25" i="1"/>
  <c r="O24" i="1"/>
  <c r="L24" i="1"/>
  <c r="G24" i="1"/>
  <c r="O23" i="1"/>
  <c r="L23" i="1"/>
  <c r="G23" i="1"/>
  <c r="S22" i="1"/>
  <c r="O22" i="1"/>
  <c r="L22" i="1"/>
  <c r="G22" i="1"/>
  <c r="L21" i="1"/>
  <c r="L20" i="1"/>
  <c r="L19" i="1"/>
  <c r="L18" i="1"/>
  <c r="L17" i="1"/>
  <c r="L16" i="1"/>
  <c r="L15" i="1"/>
  <c r="L14" i="1"/>
  <c r="Q36" i="1"/>
  <c r="Q38" i="1" s="1"/>
  <c r="R39" i="1" s="1"/>
  <c r="P40" i="1"/>
  <c r="P43" i="1"/>
  <c r="G31" i="1"/>
  <c r="G29" i="1"/>
  <c r="G30" i="1"/>
  <c r="P38" i="1"/>
  <c r="F28" i="5" l="1"/>
  <c r="F13" i="5"/>
  <c r="F44" i="5"/>
  <c r="F43" i="5" l="1"/>
  <c r="F45" i="5"/>
  <c r="F47" i="5" s="1"/>
  <c r="F54" i="5" s="1"/>
</calcChain>
</file>

<file path=xl/sharedStrings.xml><?xml version="1.0" encoding="utf-8"?>
<sst xmlns="http://schemas.openxmlformats.org/spreadsheetml/2006/main" count="156" uniqueCount="114">
  <si>
    <t>CI$ (000's)</t>
  </si>
  <si>
    <t>Receipts</t>
  </si>
  <si>
    <t>Expenditure</t>
  </si>
  <si>
    <t>Year</t>
  </si>
  <si>
    <t>Recurrent Revenue</t>
  </si>
  <si>
    <t>Fund Receipts</t>
  </si>
  <si>
    <t>Loan Proceeds</t>
  </si>
  <si>
    <t>Total Receipts</t>
  </si>
  <si>
    <t>Recurrent Expenditure</t>
  </si>
  <si>
    <t>Statutory Expenditure</t>
  </si>
  <si>
    <t>Capital Expenditure</t>
  </si>
  <si>
    <t>Extraordinary Expenditure</t>
  </si>
  <si>
    <t>Total Expenditure</t>
  </si>
  <si>
    <t>..</t>
  </si>
  <si>
    <t xml:space="preserve"> </t>
  </si>
  <si>
    <t>2003</t>
  </si>
  <si>
    <t>2004</t>
  </si>
  <si>
    <t>2005</t>
  </si>
  <si>
    <t>2006</t>
  </si>
  <si>
    <t>2007</t>
  </si>
  <si>
    <t>2008</t>
  </si>
  <si>
    <t>Note:</t>
  </si>
  <si>
    <t>Data for 2003 were based on 6 months ended 30th June 2003.</t>
  </si>
  <si>
    <t>Data for 2004 were based on fiscal year 2003/2004.</t>
  </si>
  <si>
    <t>Data for 2005 were based on the accrual basis accounting method.</t>
  </si>
  <si>
    <r>
      <t xml:space="preserve">Source:  </t>
    </r>
    <r>
      <rPr>
        <sz val="10"/>
        <rFont val="Arial"/>
        <family val="2"/>
      </rPr>
      <t>Cayman Islands Treasury Department</t>
    </r>
  </si>
  <si>
    <t>TOTAL</t>
  </si>
  <si>
    <t>Tax Revenue</t>
  </si>
  <si>
    <t>Taxes on Property</t>
  </si>
  <si>
    <t>Domestic Taxes on Goods &amp; Services</t>
  </si>
  <si>
    <t xml:space="preserve">     Company Fees</t>
  </si>
  <si>
    <t xml:space="preserve">     Bank &amp; Trust Licences</t>
  </si>
  <si>
    <t xml:space="preserve">     Work Permit Fees</t>
  </si>
  <si>
    <t xml:space="preserve">     Tourism Accommodation Taxes</t>
  </si>
  <si>
    <t xml:space="preserve">     Motor Vehicle Taxes</t>
  </si>
  <si>
    <t>Taxes on Int'l Trade and Transactions</t>
  </si>
  <si>
    <t xml:space="preserve">     Import Duties</t>
  </si>
  <si>
    <t xml:space="preserve">     Travel &amp; Cruise Ship Tax</t>
  </si>
  <si>
    <t>Other Taxes</t>
  </si>
  <si>
    <t>Non-Tax Revenue</t>
  </si>
  <si>
    <t>Administrative Fees and Charges</t>
  </si>
  <si>
    <t>Fines and Forfeits</t>
  </si>
  <si>
    <t>Other Non-tax Revenue</t>
  </si>
  <si>
    <t>Grants</t>
  </si>
  <si>
    <t>Years</t>
  </si>
  <si>
    <t>Total Revenue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</si>
  <si>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>Cayman Islands Treasury Department</t>
    </r>
  </si>
  <si>
    <t>Current Revenue</t>
  </si>
  <si>
    <t xml:space="preserve">    Coercive Revenue</t>
  </si>
  <si>
    <t xml:space="preserve">    Non-coercive Revenue</t>
  </si>
  <si>
    <t>Investment Revenue</t>
  </si>
  <si>
    <t xml:space="preserve">Current Expenditure </t>
  </si>
  <si>
    <t xml:space="preserve">    Supplies &amp; Consumables</t>
  </si>
  <si>
    <t xml:space="preserve">    Transfer Payments</t>
  </si>
  <si>
    <t xml:space="preserve">    Interest Payments</t>
  </si>
  <si>
    <t>Current Balance</t>
  </si>
  <si>
    <t>Overall Balance</t>
  </si>
  <si>
    <t>Financing</t>
  </si>
  <si>
    <t xml:space="preserve">    Net Borrowing</t>
  </si>
  <si>
    <t>STATISTICAL COMPENDIUM 2012</t>
  </si>
  <si>
    <t>CI$ (000)</t>
  </si>
  <si>
    <t>Drawings</t>
  </si>
  <si>
    <t>Exchange (Gain)/Loss</t>
  </si>
  <si>
    <t>Amortisation</t>
  </si>
  <si>
    <t>Interest Payments</t>
  </si>
  <si>
    <t>-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</si>
  <si>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Treasury Department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</si>
  <si>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a/ Self-financing debt refers to the loans raised by the central government on behalf of agencies which are required to reimburse the servicing of these loans</t>
    </r>
  </si>
  <si>
    <t>Disbursed Outstanding Debt</t>
  </si>
  <si>
    <t>Receipts and Expenditures of the Cayman Islands Government, 1992 - 2013</t>
  </si>
  <si>
    <t xml:space="preserve">        Taxes on International Trade &amp; Transactions</t>
  </si>
  <si>
    <r>
      <t xml:space="preserve">        Domestic Taxes on Goods &amp; Services</t>
    </r>
    <r>
      <rPr>
        <vertAlign val="superscript"/>
        <sz val="10"/>
        <rFont val="Times New Roman"/>
        <family val="1"/>
      </rPr>
      <t>1</t>
    </r>
  </si>
  <si>
    <r>
      <t xml:space="preserve">        Taxes on Property </t>
    </r>
    <r>
      <rPr>
        <vertAlign val="superscript"/>
        <sz val="10"/>
        <rFont val="Times New Roman"/>
        <family val="1"/>
      </rPr>
      <t>2</t>
    </r>
  </si>
  <si>
    <t xml:space="preserve">        Fines</t>
  </si>
  <si>
    <t xml:space="preserve">        Other Taxes</t>
  </si>
  <si>
    <r>
      <t xml:space="preserve">Sale of Goods &amp; Services </t>
    </r>
    <r>
      <rPr>
        <vertAlign val="superscript"/>
        <sz val="10"/>
        <rFont val="Times New Roman"/>
        <family val="1"/>
      </rPr>
      <t>3</t>
    </r>
  </si>
  <si>
    <r>
      <t xml:space="preserve">Donations </t>
    </r>
    <r>
      <rPr>
        <vertAlign val="superscript"/>
        <sz val="10"/>
        <rFont val="Times New Roman"/>
        <family val="1"/>
      </rPr>
      <t>4</t>
    </r>
  </si>
  <si>
    <t xml:space="preserve">  Other Revenue</t>
  </si>
  <si>
    <r>
      <t xml:space="preserve">    Personnel Costs </t>
    </r>
    <r>
      <rPr>
        <vertAlign val="superscript"/>
        <sz val="10"/>
        <rFont val="Times New Roman"/>
        <family val="1"/>
      </rPr>
      <t>5</t>
    </r>
  </si>
  <si>
    <t xml:space="preserve">    Depreciation</t>
  </si>
  <si>
    <r>
      <t xml:space="preserve">    Subsidies  </t>
    </r>
    <r>
      <rPr>
        <vertAlign val="superscript"/>
        <sz val="10"/>
        <rFont val="Times New Roman"/>
        <family val="1"/>
      </rPr>
      <t>6</t>
    </r>
  </si>
  <si>
    <t>Extraordinary Expenses</t>
  </si>
  <si>
    <r>
      <t xml:space="preserve">Other Executive Expenses </t>
    </r>
    <r>
      <rPr>
        <vertAlign val="superscript"/>
        <sz val="10"/>
        <rFont val="Times New Roman"/>
        <family val="1"/>
      </rPr>
      <t>7</t>
    </r>
  </si>
  <si>
    <t>Capital Expenditure &amp; Net Lending</t>
  </si>
  <si>
    <r>
      <t xml:space="preserve">    Capital Acquisition </t>
    </r>
    <r>
      <rPr>
        <vertAlign val="superscript"/>
        <sz val="10"/>
        <rFont val="Times New Roman"/>
        <family val="1"/>
      </rPr>
      <t>8</t>
    </r>
  </si>
  <si>
    <t xml:space="preserve">    Equity Injectons and Working Capital support to Public Entities </t>
  </si>
  <si>
    <t xml:space="preserve">    Capital Development </t>
  </si>
  <si>
    <t xml:space="preserve">    Net Lending </t>
  </si>
  <si>
    <t>Primary Balance</t>
  </si>
  <si>
    <r>
      <t xml:space="preserve">        Disbursements </t>
    </r>
    <r>
      <rPr>
        <vertAlign val="superscript"/>
        <sz val="10"/>
        <rFont val="Times New Roman"/>
        <family val="1"/>
      </rPr>
      <t>9</t>
    </r>
  </si>
  <si>
    <t xml:space="preserve">            Proceeds from Public Authorities Deposits</t>
  </si>
  <si>
    <t xml:space="preserve">            Proceeds from Private Sector</t>
  </si>
  <si>
    <r>
      <t xml:space="preserve">        Loan Repayment  </t>
    </r>
    <r>
      <rPr>
        <vertAlign val="superscript"/>
        <sz val="10"/>
        <rFont val="Times New Roman"/>
        <family val="1"/>
      </rPr>
      <t>10</t>
    </r>
  </si>
  <si>
    <t xml:space="preserve">    Change in Cash </t>
  </si>
  <si>
    <t>1) Increase in Domestic Taxes on Goods &amp; Services was due to increased revenue measures implemented in 2012/2013</t>
  </si>
  <si>
    <t xml:space="preserve">2) Increase in Taxes on Property in 2011 and 2012 was due to a significant land purchase on the West Bay corridor and  </t>
  </si>
  <si>
    <t xml:space="preserve">    in 2013 two unusually large land-holding companies share transfers transactions.</t>
  </si>
  <si>
    <t>3) Decrease in Sales of Goods and Services was due to revenues items being reclassed as Coercive Revenue in 2013</t>
  </si>
  <si>
    <t>4) Donations recorded in 2012 of $4.4 million were funds received from ForCayman Investment Alliance.</t>
  </si>
  <si>
    <t>5) Personnel Costs in 2013 includes $15.0 million for past service pensions.</t>
  </si>
  <si>
    <t xml:space="preserve">6) Included in Subsidies are outputs purchased from Public Entities and Non-Governmental Organisations.  </t>
  </si>
  <si>
    <t xml:space="preserve">    Outputs purchased from Health Services Authority increased in 2013.</t>
  </si>
  <si>
    <t>7) Compensation claims of $2.1 million was recorded in 2012.</t>
  </si>
  <si>
    <t>8) Capital Acquisition in 2010 - 2012 consisted of Government Administration Building project and building of the new schools</t>
  </si>
  <si>
    <t>9) Proceeds from short term deposits from Public Authorities held by Core Government ($10.0 mil) as part of the</t>
  </si>
  <si>
    <t xml:space="preserve">      Entire Public Sector Cash Management initiative.</t>
  </si>
  <si>
    <t>10) Short term loan facility repaid in 2011.</t>
  </si>
  <si>
    <t>CI$ Millions</t>
  </si>
  <si>
    <t>STATISTICAL COMPENDIUM 2014</t>
  </si>
  <si>
    <t>Total Revenue by Major Classification, 2010 - 2014</t>
  </si>
  <si>
    <t>Central Government Debt and Self-Financing Debt, (CI$M) a/  1995-2014</t>
  </si>
  <si>
    <t xml:space="preserve">       Repayment of Public Authorities Deposits </t>
  </si>
  <si>
    <r>
      <rPr>
        <b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Treasury Department</t>
    </r>
  </si>
  <si>
    <t>Caymans Islands Fiscal Operations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</si>
</sst>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_)&quot;&quot;;_(* \(#,##0\);_(* &quot;-&quot;??_);_(@_)"/>
    <numFmt numFmtId="167" formatCode="0.0_);\(0.0\)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b/>
      <sz val="14"/>
      <name val="Times New Roman"/>
      <family val="1"/>
    </font>
    <font>
      <b/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70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 applyAlignment="1">
      <alignment horizontal="centerContinuous"/>
    </xf>
    <xf numFmtId="0" fontId="4" fillId="0" borderId="0" xfId="0" applyFont="1" applyBorder="1" applyAlignment="1">
      <alignment horizontal="right"/>
    </xf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/>
    <xf numFmtId="0" fontId="0" fillId="0" borderId="0" xfId="0" applyBorder="1"/>
    <xf numFmtId="164" fontId="1" fillId="0" borderId="0" xfId="1" applyNumberFormat="1" applyBorder="1"/>
    <xf numFmtId="0" fontId="0" fillId="0" borderId="0" xfId="0" applyBorder="1" applyAlignment="1">
      <alignment horizontal="center"/>
    </xf>
    <xf numFmtId="164" fontId="1" fillId="0" borderId="0" xfId="1" applyNumberFormat="1" applyFill="1" applyBorder="1"/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/>
    <xf numFmtId="0" fontId="0" fillId="0" borderId="0" xfId="0" applyFill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5" fillId="0" borderId="0" xfId="1" applyNumberFormat="1" applyFont="1" applyFill="1" applyBorder="1"/>
    <xf numFmtId="0" fontId="4" fillId="0" borderId="0" xfId="0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4" fillId="3" borderId="0" xfId="0" applyFont="1" applyFill="1" applyBorder="1" applyAlignment="1">
      <alignment horizontal="right"/>
    </xf>
    <xf numFmtId="0" fontId="5" fillId="3" borderId="0" xfId="0" applyFont="1" applyFill="1"/>
    <xf numFmtId="0" fontId="6" fillId="3" borderId="0" xfId="0" applyFont="1" applyFill="1"/>
    <xf numFmtId="0" fontId="0" fillId="3" borderId="1" xfId="0" applyFill="1" applyBorder="1"/>
    <xf numFmtId="0" fontId="0" fillId="3" borderId="0" xfId="0" applyFill="1" applyBorder="1"/>
    <xf numFmtId="0" fontId="7" fillId="3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164" fontId="6" fillId="3" borderId="0" xfId="1" applyNumberFormat="1" applyFont="1" applyFill="1" applyBorder="1"/>
    <xf numFmtId="164" fontId="0" fillId="3" borderId="0" xfId="1" applyNumberFormat="1" applyFont="1" applyFill="1" applyBorder="1"/>
    <xf numFmtId="164" fontId="0" fillId="3" borderId="0" xfId="0" applyNumberFormat="1" applyFill="1"/>
    <xf numFmtId="0" fontId="0" fillId="3" borderId="0" xfId="0" applyFill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/>
    </xf>
    <xf numFmtId="164" fontId="0" fillId="3" borderId="7" xfId="1" applyNumberFormat="1" applyFont="1" applyFill="1" applyBorder="1"/>
    <xf numFmtId="164" fontId="5" fillId="3" borderId="0" xfId="1" applyNumberFormat="1" applyFont="1" applyFill="1" applyBorder="1" applyAlignment="1">
      <alignment horizontal="right"/>
    </xf>
    <xf numFmtId="164" fontId="0" fillId="3" borderId="8" xfId="1" applyNumberFormat="1" applyFont="1" applyFill="1" applyBorder="1"/>
    <xf numFmtId="0" fontId="6" fillId="3" borderId="0" xfId="0" applyNumberFormat="1" applyFont="1" applyFill="1" applyBorder="1" applyAlignment="1" applyProtection="1">
      <alignment horizontal="center"/>
      <protection locked="0"/>
    </xf>
    <xf numFmtId="164" fontId="6" fillId="3" borderId="0" xfId="1" applyNumberFormat="1" applyFont="1" applyFill="1" applyBorder="1" applyAlignment="1">
      <alignment horizontal="right"/>
    </xf>
    <xf numFmtId="165" fontId="0" fillId="3" borderId="0" xfId="1" applyNumberFormat="1" applyFont="1" applyFill="1" applyBorder="1"/>
    <xf numFmtId="164" fontId="1" fillId="3" borderId="7" xfId="1" applyNumberFormat="1" applyFill="1" applyBorder="1"/>
    <xf numFmtId="164" fontId="1" fillId="3" borderId="0" xfId="1" applyNumberFormat="1" applyFill="1" applyBorder="1"/>
    <xf numFmtId="0" fontId="0" fillId="3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164" fontId="6" fillId="3" borderId="0" xfId="1" applyNumberFormat="1" applyFon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6" fillId="3" borderId="5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5" fillId="3" borderId="0" xfId="0" applyFont="1" applyFill="1" applyAlignment="1"/>
    <xf numFmtId="0" fontId="8" fillId="3" borderId="0" xfId="0" applyFont="1" applyFill="1"/>
    <xf numFmtId="0" fontId="8" fillId="3" borderId="0" xfId="0" applyFont="1" applyFill="1" applyAlignment="1">
      <alignment horizontal="centerContinuous"/>
    </xf>
    <xf numFmtId="164" fontId="5" fillId="3" borderId="1" xfId="1" applyNumberFormat="1" applyFont="1" applyFill="1" applyBorder="1" applyAlignment="1">
      <alignment horizontal="center"/>
    </xf>
    <xf numFmtId="170" fontId="16" fillId="0" borderId="0" xfId="0" applyNumberFormat="1" applyFont="1" applyFill="1" applyBorder="1" applyAlignment="1"/>
    <xf numFmtId="170" fontId="17" fillId="0" borderId="0" xfId="0" applyNumberFormat="1" applyFont="1" applyFill="1" applyBorder="1"/>
    <xf numFmtId="0" fontId="17" fillId="0" borderId="0" xfId="0" applyFont="1" applyFill="1" applyBorder="1"/>
    <xf numFmtId="170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wrapText="1"/>
    </xf>
    <xf numFmtId="0" fontId="16" fillId="0" borderId="0" xfId="0" applyFont="1" applyFill="1" applyBorder="1"/>
    <xf numFmtId="170" fontId="20" fillId="0" borderId="0" xfId="0" applyNumberFormat="1" applyFont="1" applyFill="1" applyBorder="1"/>
    <xf numFmtId="0" fontId="16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left" indent="1"/>
    </xf>
    <xf numFmtId="170" fontId="17" fillId="0" borderId="0" xfId="0" applyNumberFormat="1" applyFont="1" applyFill="1" applyBorder="1" applyAlignment="1"/>
    <xf numFmtId="0" fontId="17" fillId="0" borderId="0" xfId="0" applyFont="1" applyFill="1" applyBorder="1" applyAlignment="1">
      <alignment horizontal="left" indent="3"/>
    </xf>
    <xf numFmtId="0" fontId="16" fillId="0" borderId="0" xfId="0" applyFont="1" applyFill="1" applyBorder="1" applyAlignment="1"/>
    <xf numFmtId="170" fontId="16" fillId="0" borderId="0" xfId="0" applyNumberFormat="1" applyFont="1" applyFill="1" applyBorder="1"/>
    <xf numFmtId="0" fontId="17" fillId="0" borderId="0" xfId="0" applyFont="1" applyFill="1" applyBorder="1" applyAlignment="1"/>
    <xf numFmtId="167" fontId="17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 applyAlignment="1"/>
    <xf numFmtId="167" fontId="17" fillId="0" borderId="0" xfId="0" applyNumberFormat="1" applyFont="1" applyFill="1" applyBorder="1" applyAlignment="1"/>
    <xf numFmtId="167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/>
    <xf numFmtId="167" fontId="17" fillId="0" borderId="1" xfId="0" applyNumberFormat="1" applyFont="1" applyFill="1" applyBorder="1" applyAlignment="1"/>
    <xf numFmtId="170" fontId="17" fillId="0" borderId="1" xfId="0" applyNumberFormat="1" applyFont="1" applyFill="1" applyBorder="1" applyAlignment="1"/>
    <xf numFmtId="0" fontId="18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right"/>
    </xf>
    <xf numFmtId="0" fontId="10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2" applyFont="1" applyFill="1" applyBorder="1" applyAlignment="1">
      <alignment horizontal="center"/>
    </xf>
    <xf numFmtId="2" fontId="9" fillId="0" borderId="0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left"/>
    </xf>
    <xf numFmtId="164" fontId="6" fillId="0" borderId="0" xfId="1" applyNumberFormat="1" applyFont="1" applyFill="1" applyBorder="1"/>
    <xf numFmtId="164" fontId="5" fillId="0" borderId="0" xfId="0" applyNumberFormat="1" applyFont="1" applyFill="1"/>
    <xf numFmtId="0" fontId="6" fillId="0" borderId="0" xfId="2" applyFont="1" applyFill="1" applyBorder="1" applyAlignment="1">
      <alignment horizontal="left"/>
    </xf>
    <xf numFmtId="164" fontId="6" fillId="0" borderId="0" xfId="1" applyNumberFormat="1" applyFont="1" applyFill="1"/>
    <xf numFmtId="164" fontId="0" fillId="0" borderId="0" xfId="0" applyNumberFormat="1" applyFill="1" applyBorder="1"/>
    <xf numFmtId="0" fontId="11" fillId="0" borderId="0" xfId="2" applyFont="1" applyFill="1" applyBorder="1" applyAlignment="1">
      <alignment horizontal="left"/>
    </xf>
    <xf numFmtId="164" fontId="12" fillId="0" borderId="0" xfId="1" applyNumberFormat="1" applyFont="1" applyFill="1" applyBorder="1"/>
    <xf numFmtId="164" fontId="0" fillId="0" borderId="0" xfId="0" applyNumberFormat="1" applyFill="1"/>
    <xf numFmtId="164" fontId="6" fillId="0" borderId="0" xfId="0" applyNumberFormat="1" applyFont="1" applyFill="1"/>
    <xf numFmtId="164" fontId="5" fillId="0" borderId="0" xfId="1" applyNumberFormat="1" applyFont="1" applyFill="1" applyBorder="1" applyAlignment="1">
      <alignment horizontal="center" wrapText="1"/>
    </xf>
    <xf numFmtId="0" fontId="6" fillId="0" borderId="0" xfId="0" quotePrefix="1" applyFont="1" applyFill="1" applyAlignment="1">
      <alignment horizontal="right"/>
    </xf>
    <xf numFmtId="0" fontId="10" fillId="0" borderId="0" xfId="2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center" wrapText="1"/>
    </xf>
    <xf numFmtId="164" fontId="10" fillId="0" borderId="0" xfId="1" quotePrefix="1" applyNumberFormat="1" applyFont="1" applyFill="1" applyBorder="1" applyAlignment="1">
      <alignment horizontal="right" wrapText="1"/>
    </xf>
    <xf numFmtId="0" fontId="10" fillId="0" borderId="1" xfId="2" applyFont="1" applyFill="1" applyBorder="1" applyAlignment="1">
      <alignment horizontal="left"/>
    </xf>
    <xf numFmtId="0" fontId="0" fillId="0" borderId="1" xfId="0" applyFill="1" applyBorder="1"/>
    <xf numFmtId="0" fontId="14" fillId="0" borderId="0" xfId="2" applyFont="1" applyFill="1" applyBorder="1" applyAlignment="1">
      <alignment horizontal="left"/>
    </xf>
    <xf numFmtId="0" fontId="13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6" fillId="0" borderId="0" xfId="1" applyNumberFormat="1" applyFont="1" applyFill="1" applyAlignment="1">
      <alignment horizontal="center"/>
    </xf>
    <xf numFmtId="170" fontId="6" fillId="0" borderId="9" xfId="0" applyNumberFormat="1" applyFont="1" applyFill="1" applyBorder="1" applyAlignment="1">
      <alignment horizontal="center"/>
    </xf>
    <xf numFmtId="170" fontId="6" fillId="0" borderId="7" xfId="0" applyNumberFormat="1" applyFont="1" applyFill="1" applyBorder="1" applyAlignment="1">
      <alignment horizontal="center"/>
    </xf>
    <xf numFmtId="170" fontId="6" fillId="0" borderId="9" xfId="1" applyNumberFormat="1" applyFont="1" applyFill="1" applyBorder="1" applyAlignment="1">
      <alignment horizontal="center"/>
    </xf>
    <xf numFmtId="170" fontId="6" fillId="0" borderId="7" xfId="1" applyNumberFormat="1" applyFont="1" applyFill="1" applyBorder="1" applyAlignment="1">
      <alignment horizontal="center"/>
    </xf>
    <xf numFmtId="167" fontId="6" fillId="0" borderId="9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170" fontId="6" fillId="0" borderId="9" xfId="1" quotePrefix="1" applyNumberFormat="1" applyFont="1" applyFill="1" applyBorder="1" applyAlignment="1">
      <alignment horizontal="center"/>
    </xf>
    <xf numFmtId="0" fontId="6" fillId="0" borderId="6" xfId="1" applyNumberFormat="1" applyFont="1" applyFill="1" applyBorder="1" applyAlignment="1">
      <alignment horizontal="center"/>
    </xf>
    <xf numFmtId="170" fontId="6" fillId="0" borderId="10" xfId="1" applyNumberFormat="1" applyFont="1" applyFill="1" applyBorder="1" applyAlignment="1">
      <alignment horizontal="center"/>
    </xf>
    <xf numFmtId="170" fontId="6" fillId="0" borderId="5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/>
    <xf numFmtId="0" fontId="6" fillId="0" borderId="0" xfId="1" applyNumberFormat="1" applyFont="1" applyFill="1" applyAlignment="1">
      <alignment horizontal="center" wrapText="1"/>
    </xf>
    <xf numFmtId="0" fontId="6" fillId="0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/>
  </cellXfs>
  <cellStyles count="3">
    <cellStyle name="Comma" xfId="1" builtinId="3"/>
    <cellStyle name="Normal" xfId="0" builtinId="0"/>
    <cellStyle name="Normal_n.0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8.02: Total Revenue, 2008 - 2012</a:t>
            </a:r>
          </a:p>
        </c:rich>
      </c:tx>
      <c:layout>
        <c:manualLayout>
          <c:xMode val="edge"/>
          <c:yMode val="edge"/>
          <c:x val="0.29195812632152446"/>
          <c:y val="3.7800687285223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33566433566432"/>
          <c:y val="0.20274982129853045"/>
          <c:w val="0.81118881118881225"/>
          <c:h val="0.65635959098337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'[4].02'!$AU$48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'[4].02'!$AT$57:$AT$61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'[4].02'!$AU$57:$AU$61</c:f>
              <c:numCache>
                <c:formatCode>General</c:formatCode>
                <c:ptCount val="5"/>
                <c:pt idx="0">
                  <c:v>513004</c:v>
                </c:pt>
                <c:pt idx="1">
                  <c:v>522228.63347</c:v>
                </c:pt>
                <c:pt idx="2">
                  <c:v>470641.82498999999</c:v>
                </c:pt>
                <c:pt idx="3">
                  <c:v>515754</c:v>
                </c:pt>
                <c:pt idx="4">
                  <c:v>549858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6720"/>
        <c:axId val="89453312"/>
      </c:barChart>
      <c:catAx>
        <c:axId val="8924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45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53312"/>
        <c:scaling>
          <c:orientation val="minMax"/>
          <c:max val="565000"/>
          <c:min val="445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$'000</a:t>
                </a:r>
              </a:p>
            </c:rich>
          </c:tx>
          <c:layout>
            <c:manualLayout>
              <c:xMode val="edge"/>
              <c:yMode val="edge"/>
              <c:x val="2.7971997734220693E-2"/>
              <c:y val="0.45360969054125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246720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50000">
              <a:srgbClr val="69FFFF"/>
            </a:gs>
            <a:gs pos="100000">
              <a:srgbClr val="CCFFCC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Chart</a:t>
            </a:r>
            <a:r>
              <a:rPr lang="en-US" sz="1100" baseline="0"/>
              <a:t> 13.01: Total Revenue, 2010-2014, CI$ (000's)</a:t>
            </a:r>
            <a:endParaRPr lang="en-US" sz="1100"/>
          </a:p>
        </c:rich>
      </c:tx>
      <c:layout>
        <c:manualLayout>
          <c:xMode val="edge"/>
          <c:yMode val="edge"/>
          <c:x val="0.21813188976377954"/>
          <c:y val="4.166666666666666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'13.02'!$H$10</c:f>
              <c:strCache>
                <c:ptCount val="1"/>
                <c:pt idx="0">
                  <c:v>CI$ (000's)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'13.02'!$D$11:$H$11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'13.02'!$D$13:$H$13</c:f>
              <c:numCache>
                <c:formatCode>_(* #,##0_);_(* \(#,##0\);_(* "-"??_);_(@_)</c:formatCode>
                <c:ptCount val="5"/>
                <c:pt idx="0">
                  <c:v>517719</c:v>
                </c:pt>
                <c:pt idx="1">
                  <c:v>545901</c:v>
                </c:pt>
                <c:pt idx="2">
                  <c:v>564536.89142</c:v>
                </c:pt>
                <c:pt idx="3">
                  <c:v>635122.31337000011</c:v>
                </c:pt>
                <c:pt idx="4">
                  <c:v>664296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44192"/>
        <c:axId val="89545728"/>
        <c:axId val="0"/>
      </c:bar3DChart>
      <c:catAx>
        <c:axId val="8954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45728"/>
        <c:crosses val="autoZero"/>
        <c:auto val="1"/>
        <c:lblAlgn val="ctr"/>
        <c:lblOffset val="100"/>
        <c:noMultiLvlLbl val="0"/>
      </c:catAx>
      <c:valAx>
        <c:axId val="89545728"/>
        <c:scaling>
          <c:orientation val="minMax"/>
        </c:scaling>
        <c:delete val="0"/>
        <c:axPos val="l"/>
        <c:majorGridlines>
          <c:spPr>
            <a:ln w="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895441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8.02: Total Revenue, 2008 - 2012</a:t>
            </a:r>
          </a:p>
        </c:rich>
      </c:tx>
      <c:layout>
        <c:manualLayout>
          <c:xMode val="edge"/>
          <c:yMode val="edge"/>
          <c:x val="0.29195812632152446"/>
          <c:y val="3.7800687285223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33566433566432"/>
          <c:y val="0.20274982129853045"/>
          <c:w val="0.81118881118881225"/>
          <c:h val="0.656359590983379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'[4].02'!$AU$48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'[4].02'!$AT$57:$AT$61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'[4].02'!$AU$57:$AU$61</c:f>
              <c:numCache>
                <c:formatCode>General</c:formatCode>
                <c:ptCount val="5"/>
                <c:pt idx="0">
                  <c:v>513004</c:v>
                </c:pt>
                <c:pt idx="1">
                  <c:v>522228.63347</c:v>
                </c:pt>
                <c:pt idx="2">
                  <c:v>470641.82498999999</c:v>
                </c:pt>
                <c:pt idx="3">
                  <c:v>515754</c:v>
                </c:pt>
                <c:pt idx="4">
                  <c:v>549858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70304"/>
        <c:axId val="89580288"/>
      </c:barChart>
      <c:catAx>
        <c:axId val="895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5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80288"/>
        <c:scaling>
          <c:orientation val="minMax"/>
          <c:max val="565000"/>
          <c:min val="445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 $'000</a:t>
                </a:r>
              </a:p>
            </c:rich>
          </c:tx>
          <c:layout>
            <c:manualLayout>
              <c:xMode val="edge"/>
              <c:yMode val="edge"/>
              <c:x val="2.7971997734220693E-2"/>
              <c:y val="0.453609690541259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570304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50000">
              <a:srgbClr val="69FFFF"/>
            </a:gs>
            <a:gs pos="100000">
              <a:srgbClr val="CCFFCC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8.01:  Total Receipts and  Total Expenditures, 2008 - 2012</a:t>
            </a:r>
          </a:p>
        </c:rich>
      </c:tx>
      <c:layout>
        <c:manualLayout>
          <c:xMode val="edge"/>
          <c:yMode val="edge"/>
          <c:x val="0.19164746893684922"/>
          <c:y val="4.761908826437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28807927506472"/>
          <c:y val="0.14755521413481851"/>
          <c:w val="0.80782988335976136"/>
          <c:h val="0.6000018601248156"/>
        </c:manualLayout>
      </c:layout>
      <c:lineChart>
        <c:grouping val="standard"/>
        <c:varyColors val="0"/>
        <c:ser>
          <c:idx val="0"/>
          <c:order val="0"/>
          <c:tx>
            <c:strRef>
              <c:f>'[4].01'!$N$71</c:f>
              <c:strCache>
                <c:ptCount val="1"/>
                <c:pt idx="0">
                  <c:v>Total Reciepts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'[4].01'!$M$80:$M$84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'[4].01'!$F$40:$F$44</c:f>
              <c:numCache>
                <c:formatCode>General</c:formatCode>
                <c:ptCount val="5"/>
                <c:pt idx="0">
                  <c:v>567895</c:v>
                </c:pt>
                <c:pt idx="1">
                  <c:v>689582</c:v>
                </c:pt>
                <c:pt idx="2">
                  <c:v>656060</c:v>
                </c:pt>
                <c:pt idx="3">
                  <c:v>630007</c:v>
                </c:pt>
                <c:pt idx="4">
                  <c:v>704058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'[4].01'!$K$12</c:f>
              <c:strCache>
                <c:ptCount val="1"/>
                <c:pt idx="0">
                  <c:v>Total Expenditure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'[4].01'!$M$80:$M$84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'[4].01'!$K$40:$K$44</c:f>
              <c:numCache>
                <c:formatCode>General</c:formatCode>
                <c:ptCount val="5"/>
                <c:pt idx="0">
                  <c:v>551989</c:v>
                </c:pt>
                <c:pt idx="1">
                  <c:v>653328</c:v>
                </c:pt>
                <c:pt idx="2">
                  <c:v>619968</c:v>
                </c:pt>
                <c:pt idx="3">
                  <c:v>578161</c:v>
                </c:pt>
                <c:pt idx="4">
                  <c:v>622112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6032"/>
        <c:axId val="90158208"/>
      </c:lineChart>
      <c:catAx>
        <c:axId val="901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5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158208"/>
        <c:scaling>
          <c:orientation val="minMax"/>
          <c:min val="3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8469750889679766E-2"/>
              <c:y val="0.40635053951589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156032"/>
        <c:crosses val="autoZero"/>
        <c:crossBetween val="between"/>
        <c:majorUnit val="100000"/>
      </c:valAx>
      <c:spPr>
        <a:gradFill rotWithShape="0">
          <a:gsLst>
            <a:gs pos="0">
              <a:srgbClr val="C0C0C0"/>
            </a:gs>
            <a:gs pos="100000">
              <a:srgbClr val="69FFFF"/>
            </a:gs>
          </a:gsLst>
          <a:lin ang="5400000" scaled="1"/>
        </a:gradFill>
        <a:ln w="12700">
          <a:solidFill>
            <a:schemeClr val="tx1">
              <a:lumMod val="50000"/>
              <a:lumOff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562314941949028"/>
          <c:y val="0.90793917426988391"/>
          <c:w val="0.40391496436610957"/>
          <c:h val="6.98416031329418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Chart 13.01: Total Receipts and Total Expenditures, 2008-2012</a:t>
            </a:r>
          </a:p>
        </c:rich>
      </c:tx>
      <c:layout>
        <c:manualLayout>
          <c:xMode val="edge"/>
          <c:yMode val="edge"/>
          <c:x val="0.20267551133222775"/>
          <c:y val="2.45398693976557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580788098005"/>
          <c:y val="0.16810841083090644"/>
          <c:w val="0.85801909089721984"/>
          <c:h val="0.63093227994387402"/>
        </c:manualLayout>
      </c:layout>
      <c:lineChart>
        <c:grouping val="standard"/>
        <c:varyColors val="0"/>
        <c:ser>
          <c:idx val="0"/>
          <c:order val="0"/>
          <c:tx>
            <c:strRef>
              <c:f>'13.01(delete)'!$G$12</c:f>
              <c:strCache>
                <c:ptCount val="1"/>
                <c:pt idx="0">
                  <c:v>Total Receipts</c:v>
                </c:pt>
              </c:strCache>
            </c:strRef>
          </c:tx>
          <c:cat>
            <c:strRef>
              <c:f>'13.01(delete)'!$C$41:$C$45</c:f>
              <c:strCach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strCache>
            </c:strRef>
          </c:cat>
          <c:val>
            <c:numRef>
              <c:f>'13.01(delete)'!$G$41:$G$45</c:f>
              <c:numCache>
                <c:formatCode>_(* #,##0_);_(* \(#,##0\);_(* "-"??_);_(@_)</c:formatCode>
                <c:ptCount val="5"/>
                <c:pt idx="0">
                  <c:v>689582</c:v>
                </c:pt>
                <c:pt idx="1">
                  <c:v>656060</c:v>
                </c:pt>
                <c:pt idx="2">
                  <c:v>630007</c:v>
                </c:pt>
                <c:pt idx="3">
                  <c:v>704058</c:v>
                </c:pt>
                <c:pt idx="4">
                  <c:v>564537.80172999995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'13.01(delete)'!$L$12</c:f>
              <c:strCache>
                <c:ptCount val="1"/>
                <c:pt idx="0">
                  <c:v>Total Expenditure</c:v>
                </c:pt>
              </c:strCache>
            </c:strRef>
          </c:tx>
          <c:cat>
            <c:strRef>
              <c:f>'13.01(delete)'!$C$41:$C$45</c:f>
              <c:strCach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strCache>
            </c:strRef>
          </c:cat>
          <c:val>
            <c:numRef>
              <c:f>'13.01(delete)'!$L$41:$L$45</c:f>
              <c:numCache>
                <c:formatCode>_(* #,##0_);_(* \(#,##0\);_(* "-"??_);_(@_)</c:formatCode>
                <c:ptCount val="5"/>
                <c:pt idx="0">
                  <c:v>653328</c:v>
                </c:pt>
                <c:pt idx="1">
                  <c:v>619968</c:v>
                </c:pt>
                <c:pt idx="2">
                  <c:v>578161</c:v>
                </c:pt>
                <c:pt idx="3">
                  <c:v>622112</c:v>
                </c:pt>
                <c:pt idx="4">
                  <c:v>615631.11898000003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87168"/>
        <c:axId val="91688960"/>
      </c:lineChart>
      <c:catAx>
        <c:axId val="9168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91688960"/>
        <c:crosses val="autoZero"/>
        <c:auto val="1"/>
        <c:lblAlgn val="ctr"/>
        <c:lblOffset val="100"/>
        <c:noMultiLvlLbl val="0"/>
      </c:catAx>
      <c:valAx>
        <c:axId val="9168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CI$</a:t>
                </a:r>
                <a:r>
                  <a:rPr lang="en-US" baseline="0"/>
                  <a:t> (000)</a:t>
                </a:r>
                <a:endParaRPr lang="en-US"/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91687168"/>
        <c:crosses val="autoZero"/>
        <c:crossBetween val="between"/>
      </c:valAx>
      <c:spPr>
        <a:solidFill>
          <a:schemeClr val="accent1">
            <a:lumMod val="40000"/>
            <a:lumOff val="60000"/>
          </a:schemeClr>
        </a:solidFill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3"/>
    </a:solidFill>
    <a:ln>
      <a:solidFill>
        <a:schemeClr val="accent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9524</xdr:rowOff>
        </xdr:from>
        <xdr:to>
          <xdr:col>1</xdr:col>
          <xdr:colOff>536432</xdr:colOff>
          <xdr:row>3</xdr:row>
          <xdr:rowOff>123824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431800</xdr:colOff>
      <xdr:row>23</xdr:row>
      <xdr:rowOff>38100</xdr:rowOff>
    </xdr:from>
    <xdr:to>
      <xdr:col>20</xdr:col>
      <xdr:colOff>498475</xdr:colOff>
      <xdr:row>33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35</xdr:row>
      <xdr:rowOff>114300</xdr:rowOff>
    </xdr:from>
    <xdr:to>
      <xdr:col>5</xdr:col>
      <xdr:colOff>504824</xdr:colOff>
      <xdr:row>50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431800</xdr:colOff>
      <xdr:row>23</xdr:row>
      <xdr:rowOff>38100</xdr:rowOff>
    </xdr:from>
    <xdr:to>
      <xdr:col>20</xdr:col>
      <xdr:colOff>498475</xdr:colOff>
      <xdr:row>33</xdr:row>
      <xdr:rowOff>57150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183906</xdr:colOff>
          <xdr:row>3</xdr:row>
          <xdr:rowOff>57150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51</xdr:row>
      <xdr:rowOff>0</xdr:rowOff>
    </xdr:from>
    <xdr:to>
      <xdr:col>21</xdr:col>
      <xdr:colOff>771525</xdr:colOff>
      <xdr:row>68</xdr:row>
      <xdr:rowOff>0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51</xdr:row>
      <xdr:rowOff>19050</xdr:rowOff>
    </xdr:from>
    <xdr:to>
      <xdr:col>11</xdr:col>
      <xdr:colOff>514350</xdr:colOff>
      <xdr:row>67</xdr:row>
      <xdr:rowOff>76201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390525</xdr:colOff>
          <xdr:row>0</xdr:row>
          <xdr:rowOff>114300</xdr:rowOff>
        </xdr:from>
        <xdr:to>
          <xdr:col>1</xdr:col>
          <xdr:colOff>352425</xdr:colOff>
          <xdr:row>1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3</xdr:row>
          <xdr:rowOff>57150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s/Treasury/Fiscal%20Operations%202014%20-%20ESO%20-%20No%20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ph_eu/AppData/Local/Microsoft/Windows/Temporary%20Internet%20Files/Content.Outlook/C5EZ38W1/Fiscal%20Operations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4%20Compendium/2014-%20Compendium/Responses/Treasury/Fiscal%20Operations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1%20Compendium/2011%20Compendium/2011%20Compendium%20chapters/Final%20Compendium%20of%20Statistics%202011/(Final)%20Chapter%208%20-%20GOVERN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Expenses"/>
      <sheetName val="Capital expenditure"/>
      <sheetName val="Financing"/>
      <sheetName val="Lending"/>
      <sheetName val="Revenues 2010"/>
      <sheetName val="Revenues 2011"/>
      <sheetName val="Revenues 2012"/>
      <sheetName val="Revenues 2013"/>
    </sheetNames>
    <sheetDataSet>
      <sheetData sheetId="0" refreshError="1">
        <row r="6">
          <cell r="F6">
            <v>664.29600000000005</v>
          </cell>
        </row>
        <row r="7">
          <cell r="F7">
            <v>664.29600000000005</v>
          </cell>
        </row>
        <row r="8">
          <cell r="F8">
            <v>630.07100000000003</v>
          </cell>
        </row>
        <row r="9">
          <cell r="F9">
            <v>177.86</v>
          </cell>
        </row>
        <row r="10">
          <cell r="F10">
            <v>408.64600000000002</v>
          </cell>
        </row>
        <row r="11">
          <cell r="F11">
            <v>41.597999999999999</v>
          </cell>
        </row>
        <row r="12">
          <cell r="F12">
            <v>1.6259999999999999</v>
          </cell>
        </row>
        <row r="13">
          <cell r="F13">
            <v>0.34100000000000003</v>
          </cell>
        </row>
        <row r="14">
          <cell r="F14">
            <v>34.225000000000001</v>
          </cell>
        </row>
        <row r="15">
          <cell r="F15">
            <v>32.957000000000001</v>
          </cell>
        </row>
        <row r="16">
          <cell r="F16">
            <v>0.79600000000000004</v>
          </cell>
        </row>
        <row r="17">
          <cell r="F17">
            <v>0.372</v>
          </cell>
        </row>
        <row r="18">
          <cell r="F18">
            <v>0</v>
          </cell>
        </row>
        <row r="21">
          <cell r="F21">
            <v>597.34279318000006</v>
          </cell>
        </row>
        <row r="22">
          <cell r="F22">
            <v>551.24961426000004</v>
          </cell>
        </row>
        <row r="23">
          <cell r="F23">
            <v>244.77699999999999</v>
          </cell>
        </row>
        <row r="24">
          <cell r="F24">
            <v>93.078000000000003</v>
          </cell>
        </row>
        <row r="25">
          <cell r="F25">
            <v>26.329000000000001</v>
          </cell>
        </row>
        <row r="26">
          <cell r="F26">
            <v>126.706</v>
          </cell>
        </row>
        <row r="27">
          <cell r="F27">
            <v>27.622</v>
          </cell>
        </row>
        <row r="28">
          <cell r="F28">
            <v>29.190999999999999</v>
          </cell>
        </row>
        <row r="29">
          <cell r="F29">
            <v>0</v>
          </cell>
        </row>
        <row r="30">
          <cell r="F30">
            <v>3.5466142600000001</v>
          </cell>
        </row>
        <row r="31">
          <cell r="F31">
            <v>46.093178920000007</v>
          </cell>
        </row>
        <row r="32">
          <cell r="F32">
            <v>12.877954160000002</v>
          </cell>
        </row>
        <row r="33">
          <cell r="F33">
            <v>26.838171480000003</v>
          </cell>
        </row>
        <row r="34">
          <cell r="F34">
            <v>5.8040532800000006</v>
          </cell>
        </row>
        <row r="35">
          <cell r="F35">
            <v>0.57299999999999995</v>
          </cell>
        </row>
        <row r="36">
          <cell r="F36">
            <v>96.144206819999994</v>
          </cell>
        </row>
        <row r="37">
          <cell r="F37">
            <v>113.04638574000001</v>
          </cell>
        </row>
        <row r="38">
          <cell r="F38">
            <v>66.953206819999991</v>
          </cell>
        </row>
        <row r="40">
          <cell r="F40">
            <v>66.953206819999991</v>
          </cell>
        </row>
        <row r="41">
          <cell r="F41">
            <v>-25.865917979999999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-25.865917979999999</v>
          </cell>
        </row>
        <row r="46">
          <cell r="F46">
            <v>-8</v>
          </cell>
        </row>
        <row r="47">
          <cell r="F47">
            <v>41.087288839999992</v>
          </cell>
        </row>
      </sheetData>
      <sheetData sheetId="1" refreshError="1">
        <row r="8">
          <cell r="E8">
            <v>796</v>
          </cell>
        </row>
        <row r="9">
          <cell r="E9">
            <v>372</v>
          </cell>
        </row>
        <row r="10">
          <cell r="E10">
            <v>0</v>
          </cell>
        </row>
        <row r="23">
          <cell r="E23">
            <v>29191</v>
          </cell>
        </row>
        <row r="26">
          <cell r="E26">
            <v>-3125</v>
          </cell>
        </row>
      </sheetData>
      <sheetData sheetId="2" refreshError="1">
        <row r="13">
          <cell r="E13">
            <v>162654</v>
          </cell>
        </row>
        <row r="19">
          <cell r="E19">
            <v>15206</v>
          </cell>
        </row>
        <row r="23">
          <cell r="E23">
            <v>34418</v>
          </cell>
        </row>
        <row r="69">
          <cell r="E69">
            <v>11591</v>
          </cell>
        </row>
        <row r="75">
          <cell r="E75">
            <v>89414</v>
          </cell>
        </row>
        <row r="76">
          <cell r="E76">
            <v>5827</v>
          </cell>
        </row>
        <row r="77">
          <cell r="E77">
            <v>4008</v>
          </cell>
        </row>
        <row r="78">
          <cell r="E78">
            <v>2952</v>
          </cell>
        </row>
        <row r="105">
          <cell r="E105">
            <v>19503</v>
          </cell>
        </row>
        <row r="110">
          <cell r="E110">
            <v>60198</v>
          </cell>
        </row>
        <row r="122">
          <cell r="E122">
            <v>408646</v>
          </cell>
        </row>
        <row r="129">
          <cell r="E129">
            <v>41598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Capital expenditure"/>
      <sheetName val="Financing"/>
      <sheetName val="Lending"/>
      <sheetName val="Revenues 2010"/>
      <sheetName val="Revenues 2011"/>
      <sheetName val="Revenues 2012"/>
    </sheetNames>
    <sheetDataSet>
      <sheetData sheetId="0" refreshError="1"/>
      <sheetData sheetId="1" refreshError="1">
        <row r="9">
          <cell r="E9">
            <v>415.25351000000006</v>
          </cell>
        </row>
        <row r="10">
          <cell r="E10">
            <v>121.43225000000001</v>
          </cell>
        </row>
        <row r="15">
          <cell r="E15">
            <v>235704.25392999995</v>
          </cell>
        </row>
        <row r="16">
          <cell r="E16">
            <v>78950.386919999873</v>
          </cell>
        </row>
        <row r="17">
          <cell r="E17">
            <v>6715.919449999994</v>
          </cell>
        </row>
        <row r="18">
          <cell r="E18">
            <v>26108.022580000019</v>
          </cell>
        </row>
        <row r="19">
          <cell r="E19">
            <v>108280.78320999999</v>
          </cell>
        </row>
        <row r="20">
          <cell r="E20">
            <v>28707.989000000001</v>
          </cell>
        </row>
        <row r="21">
          <cell r="E21">
            <v>32280.002860000004</v>
          </cell>
        </row>
        <row r="22">
          <cell r="E22">
            <v>4018.8436400000001</v>
          </cell>
        </row>
        <row r="23">
          <cell r="E23">
            <v>31820.02319</v>
          </cell>
        </row>
        <row r="24">
          <cell r="E24">
            <v>1158.30627</v>
          </cell>
        </row>
        <row r="49">
          <cell r="E49">
            <v>158210.67079999999</v>
          </cell>
        </row>
        <row r="50">
          <cell r="E50">
            <v>15107.82684</v>
          </cell>
        </row>
        <row r="51">
          <cell r="E51">
            <v>377271.59314000013</v>
          </cell>
        </row>
        <row r="52">
          <cell r="E52">
            <v>31257.984220000009</v>
          </cell>
        </row>
        <row r="53">
          <cell r="E53">
            <v>1625.84773</v>
          </cell>
        </row>
        <row r="54">
          <cell r="E54">
            <v>1184.68677</v>
          </cell>
        </row>
        <row r="63">
          <cell r="E63">
            <v>48919.148640000029</v>
          </cell>
        </row>
        <row r="69">
          <cell r="E69">
            <v>1129.3017199999999</v>
          </cell>
        </row>
      </sheetData>
      <sheetData sheetId="2" refreshError="1"/>
      <sheetData sheetId="3" refreshError="1">
        <row r="62">
          <cell r="E62">
            <v>9545.0088399999986</v>
          </cell>
        </row>
        <row r="63">
          <cell r="E63">
            <v>19186.922300000002</v>
          </cell>
        </row>
        <row r="64">
          <cell r="E64">
            <v>8141.646279999999</v>
          </cell>
        </row>
      </sheetData>
      <sheetData sheetId="4" refreshError="1">
        <row r="6">
          <cell r="E6">
            <v>-26491.619247074999</v>
          </cell>
        </row>
      </sheetData>
      <sheetData sheetId="5" refreshError="1">
        <row r="13">
          <cell r="D13">
            <v>-87.901180000000295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Capital expenditure"/>
      <sheetName val="Financing"/>
      <sheetName val="Lending"/>
      <sheetName val="Revenues 2010"/>
      <sheetName val="Revenues 2011"/>
      <sheetName val="Revenues 2012"/>
    </sheetNames>
    <sheetDataSet>
      <sheetData sheetId="0" refreshError="1">
        <row r="6">
          <cell r="E6">
            <v>635.12231337000014</v>
          </cell>
        </row>
        <row r="9">
          <cell r="E9">
            <v>173.31849763999998</v>
          </cell>
        </row>
        <row r="10">
          <cell r="E10">
            <v>377.27159314000011</v>
          </cell>
        </row>
        <row r="11">
          <cell r="E11">
            <v>31.257984220000008</v>
          </cell>
        </row>
        <row r="12">
          <cell r="E12">
            <v>1.62584773</v>
          </cell>
        </row>
        <row r="13">
          <cell r="E13">
            <v>1.1846867700000001</v>
          </cell>
        </row>
        <row r="15">
          <cell r="E15">
            <v>48.919148640000031</v>
          </cell>
        </row>
        <row r="16">
          <cell r="E16">
            <v>1.12930172</v>
          </cell>
        </row>
        <row r="17">
          <cell r="E17">
            <v>0.41525351000000005</v>
          </cell>
        </row>
        <row r="18">
          <cell r="E18">
            <v>0.12143225000000001</v>
          </cell>
        </row>
      </sheetData>
      <sheetData sheetId="1" refreshError="1"/>
      <sheetData sheetId="2" refreshError="1">
        <row r="13">
          <cell r="E13">
            <v>158210.67079999999</v>
          </cell>
        </row>
        <row r="19">
          <cell r="E19">
            <v>15107.82684</v>
          </cell>
        </row>
        <row r="23">
          <cell r="E23">
            <v>34899.202160000001</v>
          </cell>
        </row>
        <row r="69">
          <cell r="E69">
            <v>10681.001649999998</v>
          </cell>
        </row>
        <row r="75">
          <cell r="E75">
            <v>73561.727439999988</v>
          </cell>
        </row>
        <row r="76">
          <cell r="E76">
            <v>4639.5137300000006</v>
          </cell>
        </row>
        <row r="77">
          <cell r="E77">
            <v>4714.2161500000002</v>
          </cell>
        </row>
        <row r="78">
          <cell r="E78">
            <v>2276.8774999999996</v>
          </cell>
        </row>
        <row r="100">
          <cell r="E100">
            <v>15772.251990000001</v>
          </cell>
        </row>
        <row r="104">
          <cell r="E104">
            <v>56249.268179999999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.01"/>
      <sheetName val="old.02"/>
      <sheetName val=".02"/>
      <sheetName val=".03"/>
      <sheetName val=".04a"/>
      <sheetName val=".04b "/>
      <sheetName val="Sheet1"/>
      <sheetName val=".04 (old)"/>
      <sheetName val="Sheet2"/>
    </sheetNames>
    <sheetDataSet>
      <sheetData sheetId="0"/>
      <sheetData sheetId="1">
        <row r="12">
          <cell r="K12" t="str">
            <v>Total Expenditure</v>
          </cell>
        </row>
        <row r="40">
          <cell r="F40">
            <v>567895</v>
          </cell>
          <cell r="K40">
            <v>551989</v>
          </cell>
        </row>
        <row r="41">
          <cell r="F41">
            <v>689582</v>
          </cell>
          <cell r="K41">
            <v>653328</v>
          </cell>
        </row>
        <row r="42">
          <cell r="F42">
            <v>656060</v>
          </cell>
          <cell r="K42">
            <v>619968</v>
          </cell>
        </row>
        <row r="43">
          <cell r="F43">
            <v>630007</v>
          </cell>
          <cell r="K43">
            <v>578161</v>
          </cell>
        </row>
        <row r="44">
          <cell r="F44">
            <v>704058</v>
          </cell>
          <cell r="K44">
            <v>622112</v>
          </cell>
        </row>
        <row r="71">
          <cell r="N71" t="str">
            <v>Total Reciepts</v>
          </cell>
        </row>
        <row r="80">
          <cell r="M80">
            <v>2007</v>
          </cell>
        </row>
        <row r="81">
          <cell r="M81">
            <v>2008</v>
          </cell>
        </row>
        <row r="82">
          <cell r="M82">
            <v>2009</v>
          </cell>
        </row>
        <row r="83">
          <cell r="M83">
            <v>2010</v>
          </cell>
        </row>
        <row r="84">
          <cell r="M84">
            <v>2011</v>
          </cell>
        </row>
      </sheetData>
      <sheetData sheetId="2"/>
      <sheetData sheetId="3">
        <row r="48">
          <cell r="AU48" t="str">
            <v>Total Revenue</v>
          </cell>
        </row>
        <row r="57">
          <cell r="AT57">
            <v>2007</v>
          </cell>
          <cell r="AU57">
            <v>513004</v>
          </cell>
        </row>
        <row r="58">
          <cell r="AT58">
            <v>2008</v>
          </cell>
          <cell r="AU58">
            <v>522228.63347</v>
          </cell>
        </row>
        <row r="59">
          <cell r="AT59">
            <v>2009</v>
          </cell>
          <cell r="AU59">
            <v>470641.82498999999</v>
          </cell>
        </row>
        <row r="60">
          <cell r="AT60">
            <v>2010</v>
          </cell>
          <cell r="AU60">
            <v>515754</v>
          </cell>
        </row>
        <row r="61">
          <cell r="AT61">
            <v>2011</v>
          </cell>
          <cell r="AU61">
            <v>549858</v>
          </cell>
        </row>
      </sheetData>
      <sheetData sheetId="4">
        <row r="30">
          <cell r="H30">
            <v>433.09999999999997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R70"/>
  <sheetViews>
    <sheetView tabSelected="1" workbookViewId="0">
      <selection activeCell="G2" sqref="G2"/>
    </sheetView>
  </sheetViews>
  <sheetFormatPr defaultRowHeight="12.75" x14ac:dyDescent="0.2"/>
  <cols>
    <col min="1" max="1" width="9.140625" style="78"/>
    <col min="2" max="2" width="56.5703125" style="78" customWidth="1"/>
    <col min="3" max="3" width="11.42578125" style="102" customWidth="1"/>
    <col min="4" max="4" width="13.28515625" style="102" customWidth="1"/>
    <col min="5" max="5" width="11.5703125" style="78" customWidth="1"/>
    <col min="6" max="8" width="12.140625" style="78" customWidth="1"/>
    <col min="9" max="9" width="8.42578125" style="78" customWidth="1"/>
    <col min="10" max="16384" width="9.140625" style="78"/>
  </cols>
  <sheetData>
    <row r="4" spans="1:18" ht="15" x14ac:dyDescent="0.25">
      <c r="F4" s="81" t="s">
        <v>108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8" spans="1:18" ht="18.75" x14ac:dyDescent="0.3">
      <c r="A8" s="111">
        <v>13.01</v>
      </c>
      <c r="B8" s="112" t="s">
        <v>113</v>
      </c>
      <c r="C8" s="112"/>
      <c r="D8" s="112"/>
      <c r="E8" s="112"/>
      <c r="F8" s="112"/>
      <c r="G8" s="112"/>
      <c r="H8" s="88"/>
    </row>
    <row r="9" spans="1:18" x14ac:dyDescent="0.2">
      <c r="B9" s="88"/>
      <c r="C9" s="88"/>
      <c r="D9" s="88"/>
      <c r="E9" s="88"/>
      <c r="F9" s="88"/>
      <c r="G9" s="88"/>
      <c r="H9" s="88"/>
    </row>
    <row r="10" spans="1:18" x14ac:dyDescent="0.2">
      <c r="B10" s="88"/>
      <c r="C10" s="88"/>
      <c r="D10" s="88"/>
      <c r="E10" s="88"/>
      <c r="F10" s="88"/>
      <c r="G10" s="88"/>
      <c r="H10" s="88"/>
    </row>
    <row r="11" spans="1:18" x14ac:dyDescent="0.2">
      <c r="B11" s="88"/>
      <c r="C11" s="89"/>
      <c r="D11" s="89"/>
      <c r="G11" s="90" t="s">
        <v>107</v>
      </c>
      <c r="H11" s="90"/>
    </row>
    <row r="12" spans="1:18" ht="15.75" x14ac:dyDescent="0.25">
      <c r="B12" s="91"/>
      <c r="C12" s="92">
        <v>2010</v>
      </c>
      <c r="D12" s="93">
        <v>2011</v>
      </c>
      <c r="E12" s="93">
        <v>2012</v>
      </c>
      <c r="F12" s="93">
        <v>2013</v>
      </c>
      <c r="G12" s="93">
        <v>2014</v>
      </c>
      <c r="H12" s="80"/>
    </row>
    <row r="13" spans="1:18" s="94" customFormat="1" x14ac:dyDescent="0.2">
      <c r="B13" s="94" t="s">
        <v>45</v>
      </c>
      <c r="C13" s="76">
        <f>C14+C26</f>
        <v>517.71976999999993</v>
      </c>
      <c r="D13" s="76">
        <f>D14+D26</f>
        <v>545.90193296000007</v>
      </c>
      <c r="E13" s="76">
        <f>E14+E26</f>
        <v>564.53780172999996</v>
      </c>
      <c r="F13" s="76">
        <f>F14+F26</f>
        <v>635.12231337000014</v>
      </c>
      <c r="G13" s="76">
        <f>[1]Report!$F6</f>
        <v>664.29600000000005</v>
      </c>
      <c r="H13" s="76"/>
      <c r="I13" s="95"/>
    </row>
    <row r="14" spans="1:18" x14ac:dyDescent="0.2">
      <c r="B14" s="96" t="s">
        <v>47</v>
      </c>
      <c r="C14" s="76">
        <f>C15+C21</f>
        <v>517.71976999999993</v>
      </c>
      <c r="D14" s="76">
        <f>D15+D21</f>
        <v>545.90193296000007</v>
      </c>
      <c r="E14" s="76">
        <f>E15+E21</f>
        <v>564.53780172999996</v>
      </c>
      <c r="F14" s="76">
        <f>F15+F21</f>
        <v>635.12231337000014</v>
      </c>
      <c r="G14" s="76">
        <f>[1]Report!$F7</f>
        <v>664.29600000000005</v>
      </c>
      <c r="H14" s="76"/>
      <c r="I14" s="95"/>
    </row>
    <row r="15" spans="1:18" x14ac:dyDescent="0.2">
      <c r="B15" s="97" t="s">
        <v>48</v>
      </c>
      <c r="C15" s="98">
        <f>C16+C17+C18+C19+C20</f>
        <v>460.79376999999994</v>
      </c>
      <c r="D15" s="98">
        <f t="shared" ref="D15:F15" si="0">D16+D17+D18+D19+D20</f>
        <v>489.30451400000004</v>
      </c>
      <c r="E15" s="98">
        <f t="shared" si="0"/>
        <v>504.84308332000001</v>
      </c>
      <c r="F15" s="98">
        <f t="shared" si="0"/>
        <v>584.65860950000013</v>
      </c>
      <c r="G15" s="98">
        <f>[1]Report!$F8</f>
        <v>630.07100000000003</v>
      </c>
      <c r="H15" s="98"/>
      <c r="I15" s="95"/>
    </row>
    <row r="16" spans="1:18" x14ac:dyDescent="0.2">
      <c r="B16" s="97" t="s">
        <v>70</v>
      </c>
      <c r="C16" s="98">
        <v>158.50976999999995</v>
      </c>
      <c r="D16" s="98">
        <v>162.24849599999999</v>
      </c>
      <c r="E16" s="77">
        <v>167.15683785000002</v>
      </c>
      <c r="F16" s="77">
        <f>([2]Working!E49+[2]Working!E50)/1000</f>
        <v>173.31849763999998</v>
      </c>
      <c r="G16" s="77">
        <f>[1]Report!$F9</f>
        <v>177.86</v>
      </c>
      <c r="H16" s="77"/>
      <c r="I16" s="95"/>
    </row>
    <row r="17" spans="2:9" ht="15.75" x14ac:dyDescent="0.2">
      <c r="B17" s="97" t="s">
        <v>71</v>
      </c>
      <c r="C17" s="98">
        <v>279.35599999999999</v>
      </c>
      <c r="D17" s="98">
        <v>289.46800000000002</v>
      </c>
      <c r="E17" s="77">
        <v>296.61074879</v>
      </c>
      <c r="F17" s="77">
        <f>[2]Working!E51/1000</f>
        <v>377.27159314000011</v>
      </c>
      <c r="G17" s="77">
        <f>[1]Report!$F10</f>
        <v>408.64600000000002</v>
      </c>
      <c r="H17" s="77"/>
      <c r="I17" s="95"/>
    </row>
    <row r="18" spans="2:9" ht="15.75" x14ac:dyDescent="0.2">
      <c r="B18" s="97" t="s">
        <v>72</v>
      </c>
      <c r="C18" s="98">
        <v>21.308</v>
      </c>
      <c r="D18" s="98">
        <v>36.393233000000002</v>
      </c>
      <c r="E18" s="77">
        <v>36.679090639999998</v>
      </c>
      <c r="F18" s="77">
        <f>[2]Working!E52/1000</f>
        <v>31.257984220000008</v>
      </c>
      <c r="G18" s="77">
        <f>[1]Report!$F11</f>
        <v>41.597999999999999</v>
      </c>
      <c r="H18" s="77"/>
      <c r="I18" s="95"/>
    </row>
    <row r="19" spans="2:9" x14ac:dyDescent="0.2">
      <c r="B19" s="97" t="s">
        <v>73</v>
      </c>
      <c r="C19" s="98">
        <v>1.61</v>
      </c>
      <c r="D19" s="98">
        <v>1.1807159999999999</v>
      </c>
      <c r="E19" s="77">
        <v>1.3379638300000001</v>
      </c>
      <c r="F19" s="77">
        <f>[2]Working!E53/1000</f>
        <v>1.62584773</v>
      </c>
      <c r="G19" s="77">
        <f>[1]Report!$F12</f>
        <v>1.6259999999999999</v>
      </c>
      <c r="H19" s="77"/>
      <c r="I19" s="95"/>
    </row>
    <row r="20" spans="2:9" x14ac:dyDescent="0.2">
      <c r="B20" s="97" t="s">
        <v>74</v>
      </c>
      <c r="C20" s="98">
        <v>0.01</v>
      </c>
      <c r="D20" s="98">
        <v>1.4069000000000002E-2</v>
      </c>
      <c r="E20" s="77">
        <v>3.0584422099999999</v>
      </c>
      <c r="F20" s="77">
        <f>[2]Working!E54/1000</f>
        <v>1.1846867700000001</v>
      </c>
      <c r="G20" s="77">
        <f>[1]Report!$F13</f>
        <v>0.34100000000000003</v>
      </c>
      <c r="H20" s="77"/>
      <c r="I20" s="95"/>
    </row>
    <row r="21" spans="2:9" x14ac:dyDescent="0.2">
      <c r="B21" s="97" t="s">
        <v>49</v>
      </c>
      <c r="C21" s="98">
        <f>+C22+C23+C24</f>
        <v>56.926000000000002</v>
      </c>
      <c r="D21" s="98">
        <f>+D22+D23+D24+0.1</f>
        <v>56.597418960000006</v>
      </c>
      <c r="E21" s="98">
        <f t="shared" ref="E21:F21" si="1">+E22+E23+E24</f>
        <v>59.69471841</v>
      </c>
      <c r="F21" s="98">
        <f t="shared" si="1"/>
        <v>50.463703870000032</v>
      </c>
      <c r="G21" s="98">
        <f>[1]Report!$F14</f>
        <v>34.225000000000001</v>
      </c>
      <c r="H21" s="98"/>
      <c r="I21" s="95"/>
    </row>
    <row r="22" spans="2:9" ht="15.75" x14ac:dyDescent="0.2">
      <c r="B22" s="99" t="s">
        <v>75</v>
      </c>
      <c r="C22" s="79">
        <v>56.215000000000003</v>
      </c>
      <c r="D22" s="79">
        <v>55.760080960000003</v>
      </c>
      <c r="E22" s="77">
        <v>55.006001659999995</v>
      </c>
      <c r="F22" s="77">
        <f>[2]Working!E63/1000</f>
        <v>48.919148640000031</v>
      </c>
      <c r="G22" s="77">
        <f>[1]Report!$F15</f>
        <v>32.957000000000001</v>
      </c>
      <c r="H22" s="77"/>
      <c r="I22" s="95"/>
    </row>
    <row r="23" spans="2:9" x14ac:dyDescent="0.2">
      <c r="B23" s="99" t="s">
        <v>50</v>
      </c>
      <c r="C23" s="79">
        <v>0.13700000000000001</v>
      </c>
      <c r="D23" s="79">
        <v>0.55373600000000001</v>
      </c>
      <c r="E23" s="77">
        <v>0.30968793000000006</v>
      </c>
      <c r="F23" s="77">
        <f>[2]Working!E69/1000</f>
        <v>1.12930172</v>
      </c>
      <c r="G23" s="77">
        <f>[1]Report!$F16</f>
        <v>0.79600000000000004</v>
      </c>
      <c r="H23" s="77"/>
      <c r="I23" s="95"/>
    </row>
    <row r="24" spans="2:9" ht="15.75" x14ac:dyDescent="0.2">
      <c r="B24" s="99" t="s">
        <v>76</v>
      </c>
      <c r="C24" s="79">
        <v>0.57399999999999995</v>
      </c>
      <c r="D24" s="79">
        <v>0.18360200000000002</v>
      </c>
      <c r="E24" s="77">
        <v>4.3790288199999994</v>
      </c>
      <c r="F24" s="77">
        <f>[2]Working!E9/1000</f>
        <v>0.41525351000000005</v>
      </c>
      <c r="G24" s="77">
        <f>[1]Report!$F17</f>
        <v>0.372</v>
      </c>
      <c r="H24" s="77"/>
      <c r="I24" s="95"/>
    </row>
    <row r="25" spans="2:9" x14ac:dyDescent="0.2">
      <c r="B25" s="99" t="s">
        <v>77</v>
      </c>
      <c r="C25" s="79">
        <v>0</v>
      </c>
      <c r="D25" s="79">
        <v>0</v>
      </c>
      <c r="E25" s="79">
        <v>0</v>
      </c>
      <c r="F25" s="77">
        <f>[2]Working!E10/1000</f>
        <v>0.12143225000000001</v>
      </c>
      <c r="G25" s="77">
        <f>[1]Report!$F18</f>
        <v>0</v>
      </c>
      <c r="H25" s="77"/>
      <c r="I25" s="95"/>
    </row>
    <row r="26" spans="2:9" s="94" customFormat="1" x14ac:dyDescent="0.2">
      <c r="B26" s="96"/>
      <c r="C26" s="100"/>
      <c r="D26" s="100"/>
      <c r="E26" s="101"/>
      <c r="F26" s="101"/>
      <c r="G26" s="101"/>
      <c r="H26" s="101"/>
      <c r="I26" s="95"/>
    </row>
    <row r="27" spans="2:9" x14ac:dyDescent="0.2">
      <c r="E27" s="77"/>
      <c r="F27" s="77"/>
      <c r="G27" s="77"/>
      <c r="H27" s="77"/>
      <c r="I27" s="95"/>
    </row>
    <row r="28" spans="2:9" x14ac:dyDescent="0.2">
      <c r="B28" s="94" t="s">
        <v>12</v>
      </c>
      <c r="C28" s="76">
        <f>C29+C38</f>
        <v>593.50416211000004</v>
      </c>
      <c r="D28" s="76">
        <f t="shared" ref="D28:F28" si="2">D29+D38</f>
        <v>623.47706502999995</v>
      </c>
      <c r="E28" s="76">
        <f t="shared" si="2"/>
        <v>615.63111898</v>
      </c>
      <c r="F28" s="76">
        <f t="shared" si="2"/>
        <v>590.53020728999979</v>
      </c>
      <c r="G28" s="76">
        <f>[1]Report!$F21</f>
        <v>597.34279318000006</v>
      </c>
      <c r="H28" s="76"/>
      <c r="I28" s="95"/>
    </row>
    <row r="29" spans="2:9" s="94" customFormat="1" x14ac:dyDescent="0.2">
      <c r="B29" s="96" t="s">
        <v>51</v>
      </c>
      <c r="C29" s="76">
        <f>SUM(C30:C37)</f>
        <v>517.27613598000005</v>
      </c>
      <c r="D29" s="76">
        <f t="shared" ref="D29:F29" si="3">SUM(D30:D37)</f>
        <v>525.16890616000001</v>
      </c>
      <c r="E29" s="76">
        <f t="shared" si="3"/>
        <v>547.16724066999996</v>
      </c>
      <c r="F29" s="76">
        <f t="shared" si="3"/>
        <v>553.74453104999975</v>
      </c>
      <c r="G29" s="76">
        <f>[1]Report!$F22</f>
        <v>551.24961426000004</v>
      </c>
      <c r="H29" s="76"/>
      <c r="I29" s="95"/>
    </row>
    <row r="30" spans="2:9" ht="15.75" x14ac:dyDescent="0.2">
      <c r="B30" s="97" t="s">
        <v>78</v>
      </c>
      <c r="C30" s="103">
        <v>224.81669600000001</v>
      </c>
      <c r="D30" s="79">
        <v>216.41969347999998</v>
      </c>
      <c r="E30" s="79">
        <v>226.53927012</v>
      </c>
      <c r="F30" s="79">
        <f>[2]Working!E15/1000</f>
        <v>235.70425392999994</v>
      </c>
      <c r="G30" s="79">
        <f>[1]Report!$F23</f>
        <v>244.77699999999999</v>
      </c>
      <c r="H30" s="79"/>
      <c r="I30" s="95"/>
    </row>
    <row r="31" spans="2:9" x14ac:dyDescent="0.2">
      <c r="B31" s="97" t="s">
        <v>52</v>
      </c>
      <c r="C31" s="103">
        <v>86.442126699999989</v>
      </c>
      <c r="D31" s="79">
        <v>89.224933000000007</v>
      </c>
      <c r="E31" s="79">
        <v>94.136629669999991</v>
      </c>
      <c r="F31" s="79">
        <f>([2]Working!E16+[2]Working!E17+[2]Working!E24)/1000</f>
        <v>86.824612639999856</v>
      </c>
      <c r="G31" s="79">
        <f>[1]Report!$F24</f>
        <v>93.078000000000003</v>
      </c>
      <c r="H31" s="79"/>
      <c r="I31" s="95"/>
    </row>
    <row r="32" spans="2:9" x14ac:dyDescent="0.2">
      <c r="B32" s="97" t="s">
        <v>79</v>
      </c>
      <c r="C32" s="103">
        <v>20.023</v>
      </c>
      <c r="D32" s="79">
        <v>20.7059465</v>
      </c>
      <c r="E32" s="79">
        <v>23.43479134</v>
      </c>
      <c r="F32" s="79">
        <f>[2]Working!E18/1000</f>
        <v>26.108022580000018</v>
      </c>
      <c r="G32" s="79">
        <f>[1]Report!$F25</f>
        <v>26.329000000000001</v>
      </c>
      <c r="H32" s="79"/>
      <c r="I32" s="95"/>
    </row>
    <row r="33" spans="2:9" ht="15.75" x14ac:dyDescent="0.2">
      <c r="B33" s="97" t="s">
        <v>80</v>
      </c>
      <c r="C33" s="103">
        <v>125.18291427999998</v>
      </c>
      <c r="D33" s="79">
        <v>131.58458918000002</v>
      </c>
      <c r="E33" s="79">
        <v>131.68256865000001</v>
      </c>
      <c r="F33" s="79">
        <f>([2]Working!E19+[2]Working!E20)/1000</f>
        <v>136.98877221000001</v>
      </c>
      <c r="G33" s="79">
        <f>[1]Report!$F26</f>
        <v>126.706</v>
      </c>
      <c r="H33" s="79"/>
      <c r="I33" s="95"/>
    </row>
    <row r="34" spans="2:9" x14ac:dyDescent="0.2">
      <c r="B34" s="97" t="s">
        <v>53</v>
      </c>
      <c r="C34" s="103">
        <v>29.725815999999998</v>
      </c>
      <c r="D34" s="79">
        <v>31.045055000000001</v>
      </c>
      <c r="E34" s="79">
        <v>30.478695009999999</v>
      </c>
      <c r="F34" s="79">
        <f>[2]Working!E21/1000</f>
        <v>32.280002860000003</v>
      </c>
      <c r="G34" s="79">
        <f>[1]Report!$F27</f>
        <v>27.622</v>
      </c>
      <c r="H34" s="79"/>
      <c r="I34" s="95"/>
    </row>
    <row r="35" spans="2:9" x14ac:dyDescent="0.2">
      <c r="B35" s="97" t="s">
        <v>54</v>
      </c>
      <c r="C35" s="103">
        <v>27.859175</v>
      </c>
      <c r="D35" s="79">
        <v>32.922763000000003</v>
      </c>
      <c r="E35" s="79">
        <v>33.774852580000001</v>
      </c>
      <c r="F35" s="79">
        <f>[2]Working!E23/1000</f>
        <v>31.820023190000001</v>
      </c>
      <c r="G35" s="79">
        <f>[1]Report!$F28</f>
        <v>29.190999999999999</v>
      </c>
      <c r="H35" s="79"/>
      <c r="I35" s="95"/>
    </row>
    <row r="36" spans="2:9" x14ac:dyDescent="0.2">
      <c r="B36" s="97" t="s">
        <v>81</v>
      </c>
      <c r="C36" s="103">
        <v>0</v>
      </c>
      <c r="D36" s="79">
        <v>0</v>
      </c>
      <c r="E36" s="79">
        <v>0</v>
      </c>
      <c r="F36" s="79">
        <v>0</v>
      </c>
      <c r="G36" s="79">
        <f>[1]Report!$F29</f>
        <v>0</v>
      </c>
      <c r="H36" s="79"/>
      <c r="I36" s="95"/>
    </row>
    <row r="37" spans="2:9" ht="15.75" x14ac:dyDescent="0.2">
      <c r="B37" s="97" t="s">
        <v>82</v>
      </c>
      <c r="C37" s="103">
        <v>3.2264079999999997</v>
      </c>
      <c r="D37" s="79">
        <v>3.2659260000000003</v>
      </c>
      <c r="E37" s="79">
        <v>7.1204332999999993</v>
      </c>
      <c r="F37" s="79">
        <f>[2]Working!E22/1000</f>
        <v>4.0188436400000001</v>
      </c>
      <c r="G37" s="79">
        <f>[1]Report!$F30</f>
        <v>3.5466142600000001</v>
      </c>
      <c r="H37" s="79"/>
      <c r="I37" s="95"/>
    </row>
    <row r="38" spans="2:9" s="94" customFormat="1" x14ac:dyDescent="0.2">
      <c r="B38" s="96" t="s">
        <v>83</v>
      </c>
      <c r="C38" s="76">
        <f t="shared" ref="C38:F38" si="4">C39+C41+C42+C40</f>
        <v>76.228026130000003</v>
      </c>
      <c r="D38" s="76">
        <f t="shared" si="4"/>
        <v>98.30815887</v>
      </c>
      <c r="E38" s="76">
        <f t="shared" si="4"/>
        <v>68.463878310000013</v>
      </c>
      <c r="F38" s="76">
        <f t="shared" si="4"/>
        <v>36.785676240000001</v>
      </c>
      <c r="G38" s="76">
        <f>[1]Report!$F31</f>
        <v>46.093178920000007</v>
      </c>
      <c r="H38" s="76"/>
      <c r="I38" s="95"/>
    </row>
    <row r="39" spans="2:9" ht="15.75" x14ac:dyDescent="0.2">
      <c r="B39" s="97" t="s">
        <v>84</v>
      </c>
      <c r="C39" s="103">
        <v>28.052983330000011</v>
      </c>
      <c r="D39" s="79">
        <v>62.195873540000008</v>
      </c>
      <c r="E39" s="79">
        <v>37.643688500000003</v>
      </c>
      <c r="F39" s="79">
        <f>'[2]Capital expenditure'!E62/1000</f>
        <v>9.5450088399999977</v>
      </c>
      <c r="G39" s="79">
        <f>[1]Report!$F32</f>
        <v>12.877954160000002</v>
      </c>
      <c r="H39" s="79"/>
      <c r="I39" s="95"/>
    </row>
    <row r="40" spans="2:9" x14ac:dyDescent="0.2">
      <c r="B40" s="97" t="s">
        <v>85</v>
      </c>
      <c r="C40" s="103">
        <v>14.863466999999998</v>
      </c>
      <c r="D40" s="79">
        <v>19.992782469999998</v>
      </c>
      <c r="E40" s="79">
        <v>20.751875999999999</v>
      </c>
      <c r="F40" s="79">
        <f>'[2]Capital expenditure'!E63/1000</f>
        <v>19.186922300000003</v>
      </c>
      <c r="G40" s="79">
        <f>[1]Report!$F33</f>
        <v>26.838171480000003</v>
      </c>
      <c r="H40" s="79"/>
      <c r="I40" s="95"/>
    </row>
    <row r="41" spans="2:9" x14ac:dyDescent="0.2">
      <c r="B41" s="97" t="s">
        <v>86</v>
      </c>
      <c r="C41" s="103">
        <v>37.719097489999989</v>
      </c>
      <c r="D41" s="79">
        <v>15.994867400000002</v>
      </c>
      <c r="E41" s="79">
        <v>8.3995147800000023</v>
      </c>
      <c r="F41" s="79">
        <f>'[2]Capital expenditure'!E64/1000</f>
        <v>8.1416462799999998</v>
      </c>
      <c r="G41" s="79">
        <f>[1]Report!$F34</f>
        <v>5.8040532800000006</v>
      </c>
      <c r="H41" s="79"/>
      <c r="I41" s="95"/>
    </row>
    <row r="42" spans="2:9" x14ac:dyDescent="0.2">
      <c r="B42" s="97" t="s">
        <v>87</v>
      </c>
      <c r="C42" s="103">
        <v>-4.4075216899999994</v>
      </c>
      <c r="D42" s="103">
        <v>0.12463545999999974</v>
      </c>
      <c r="E42" s="77">
        <v>1.6687990300000002</v>
      </c>
      <c r="F42" s="77">
        <f>[2]Lending!D13/1000</f>
        <v>-8.7901180000000301E-2</v>
      </c>
      <c r="G42" s="77">
        <f>[1]Report!$F35</f>
        <v>0.57299999999999995</v>
      </c>
      <c r="H42" s="77"/>
      <c r="I42" s="95"/>
    </row>
    <row r="43" spans="2:9" s="94" customFormat="1" x14ac:dyDescent="0.2">
      <c r="B43" s="104" t="s">
        <v>88</v>
      </c>
      <c r="C43" s="105">
        <f>C13-C28+C35</f>
        <v>-47.925217110000112</v>
      </c>
      <c r="D43" s="105">
        <f>D13-D28+D35</f>
        <v>-44.652369069999878</v>
      </c>
      <c r="E43" s="76">
        <f>E13-E28+E35</f>
        <v>-17.31846467000004</v>
      </c>
      <c r="F43" s="76">
        <f>F13-F28+F35</f>
        <v>76.412129270000349</v>
      </c>
      <c r="G43" s="76">
        <f>[1]Report!$F36</f>
        <v>96.144206819999994</v>
      </c>
      <c r="H43" s="76"/>
      <c r="I43" s="95"/>
    </row>
    <row r="44" spans="2:9" s="94" customFormat="1" x14ac:dyDescent="0.2">
      <c r="B44" s="94" t="s">
        <v>55</v>
      </c>
      <c r="C44" s="105">
        <f>C14-C29</f>
        <v>0.44363401999987673</v>
      </c>
      <c r="D44" s="105">
        <f>D14-D29</f>
        <v>20.733026800000061</v>
      </c>
      <c r="E44" s="76">
        <f>E14-E29</f>
        <v>17.37056106</v>
      </c>
      <c r="F44" s="76">
        <f>F14-F29</f>
        <v>81.377782320000392</v>
      </c>
      <c r="G44" s="76">
        <f>[1]Report!$F37</f>
        <v>113.04638574000001</v>
      </c>
      <c r="H44" s="76"/>
      <c r="I44" s="95"/>
    </row>
    <row r="45" spans="2:9" s="94" customFormat="1" x14ac:dyDescent="0.2">
      <c r="B45" s="94" t="s">
        <v>56</v>
      </c>
      <c r="C45" s="105">
        <f>C13-C28</f>
        <v>-75.784392110000113</v>
      </c>
      <c r="D45" s="105">
        <f>D13-D28</f>
        <v>-77.575132069999881</v>
      </c>
      <c r="E45" s="76">
        <f>E13-E28</f>
        <v>-51.093317250000041</v>
      </c>
      <c r="F45" s="76">
        <f>F13-F28</f>
        <v>44.592106080000349</v>
      </c>
      <c r="G45" s="76">
        <f>[1]Report!$F38</f>
        <v>66.953206819999991</v>
      </c>
      <c r="H45" s="76"/>
      <c r="I45" s="95"/>
    </row>
    <row r="46" spans="2:9" x14ac:dyDescent="0.2">
      <c r="C46" s="103"/>
      <c r="E46" s="77"/>
      <c r="F46" s="77"/>
      <c r="G46" s="77"/>
      <c r="H46" s="77"/>
      <c r="I46" s="95"/>
    </row>
    <row r="47" spans="2:9" s="94" customFormat="1" x14ac:dyDescent="0.2">
      <c r="B47" s="94" t="s">
        <v>57</v>
      </c>
      <c r="C47" s="105">
        <f>C45</f>
        <v>-75.784392110000113</v>
      </c>
      <c r="D47" s="105">
        <f>D45</f>
        <v>-77.575132069999881</v>
      </c>
      <c r="E47" s="76">
        <f>E45</f>
        <v>-51.093317250000041</v>
      </c>
      <c r="F47" s="76">
        <f>F45</f>
        <v>44.592106080000349</v>
      </c>
      <c r="G47" s="76">
        <f>[1]Report!$F$40</f>
        <v>66.953206819999991</v>
      </c>
      <c r="H47" s="76"/>
      <c r="I47" s="95"/>
    </row>
    <row r="48" spans="2:9" x14ac:dyDescent="0.2">
      <c r="B48" s="78" t="s">
        <v>58</v>
      </c>
      <c r="C48" s="106">
        <f t="shared" ref="C48:D48" si="5">SUM(C49:C52)</f>
        <v>80.725999999999999</v>
      </c>
      <c r="D48" s="106">
        <f t="shared" si="5"/>
        <v>20.299999999999983</v>
      </c>
      <c r="E48" s="98">
        <f>SUM(E49:E52)</f>
        <v>-25.928567040000001</v>
      </c>
      <c r="F48" s="98">
        <f>SUM(F49:F52)</f>
        <v>-16.491619247075</v>
      </c>
      <c r="G48" s="98">
        <f>[1]Report!$F$41</f>
        <v>-25.865917979999999</v>
      </c>
      <c r="H48" s="98"/>
      <c r="I48" s="95"/>
    </row>
    <row r="49" spans="2:9" ht="15.75" x14ac:dyDescent="0.2">
      <c r="B49" s="78" t="s">
        <v>89</v>
      </c>
      <c r="C49" s="103"/>
      <c r="D49" s="107"/>
      <c r="E49" s="79"/>
      <c r="F49" s="79"/>
      <c r="G49" s="79"/>
      <c r="H49" s="79"/>
      <c r="I49" s="95"/>
    </row>
    <row r="50" spans="2:9" x14ac:dyDescent="0.2">
      <c r="B50" s="78" t="s">
        <v>90</v>
      </c>
      <c r="C50" s="103">
        <v>0</v>
      </c>
      <c r="D50" s="107">
        <v>0</v>
      </c>
      <c r="E50" s="79">
        <v>0</v>
      </c>
      <c r="F50" s="79">
        <v>10</v>
      </c>
      <c r="G50" s="79">
        <f>[1]Report!$F$43</f>
        <v>0</v>
      </c>
      <c r="H50" s="79"/>
      <c r="I50" s="95"/>
    </row>
    <row r="51" spans="2:9" x14ac:dyDescent="0.2">
      <c r="B51" s="78" t="s">
        <v>91</v>
      </c>
      <c r="C51" s="103">
        <v>106.655</v>
      </c>
      <c r="D51" s="107">
        <v>154.19999999999999</v>
      </c>
      <c r="E51" s="79">
        <v>0</v>
      </c>
      <c r="F51" s="79">
        <v>0</v>
      </c>
      <c r="G51" s="79">
        <f>[1]Report!$F$44</f>
        <v>0</v>
      </c>
      <c r="H51" s="79"/>
      <c r="I51" s="95"/>
    </row>
    <row r="52" spans="2:9" ht="15.75" x14ac:dyDescent="0.2">
      <c r="B52" s="78" t="s">
        <v>92</v>
      </c>
      <c r="C52" s="103">
        <v>-25.928999999999998</v>
      </c>
      <c r="D52" s="107">
        <v>-133.9</v>
      </c>
      <c r="E52" s="79">
        <v>-25.928567040000001</v>
      </c>
      <c r="F52" s="79">
        <f>[2]Financing!E6/1000</f>
        <v>-26.491619247075</v>
      </c>
      <c r="G52" s="79">
        <f>[1]Report!$F$45</f>
        <v>-25.865917979999999</v>
      </c>
      <c r="H52" s="79"/>
      <c r="I52" s="95"/>
    </row>
    <row r="53" spans="2:9" x14ac:dyDescent="0.2">
      <c r="B53" s="78" t="s">
        <v>111</v>
      </c>
      <c r="C53" s="103">
        <v>0</v>
      </c>
      <c r="D53" s="107">
        <v>0</v>
      </c>
      <c r="E53" s="79">
        <v>0</v>
      </c>
      <c r="F53" s="79">
        <v>0</v>
      </c>
      <c r="G53" s="79">
        <f>[1]Report!$F$46</f>
        <v>-8</v>
      </c>
      <c r="H53" s="79"/>
      <c r="I53" s="95"/>
    </row>
    <row r="54" spans="2:9" x14ac:dyDescent="0.2">
      <c r="B54" s="108" t="s">
        <v>93</v>
      </c>
      <c r="C54" s="109">
        <f t="shared" ref="C54:F54" si="6">C47+C48</f>
        <v>4.9416078899998865</v>
      </c>
      <c r="D54" s="109">
        <f t="shared" si="6"/>
        <v>-57.275132069999898</v>
      </c>
      <c r="E54" s="110">
        <f t="shared" si="6"/>
        <v>-77.021884290000045</v>
      </c>
      <c r="F54" s="110">
        <f t="shared" si="6"/>
        <v>28.100486832925348</v>
      </c>
      <c r="G54" s="110">
        <f>[1]Report!$F$47</f>
        <v>41.087288839999992</v>
      </c>
      <c r="H54" s="98"/>
      <c r="I54" s="95"/>
    </row>
    <row r="56" spans="2:9" x14ac:dyDescent="0.2">
      <c r="B56" s="78" t="s">
        <v>94</v>
      </c>
    </row>
    <row r="57" spans="2:9" x14ac:dyDescent="0.2">
      <c r="B57" s="78" t="s">
        <v>95</v>
      </c>
      <c r="C57" s="78"/>
      <c r="D57" s="78"/>
    </row>
    <row r="58" spans="2:9" x14ac:dyDescent="0.2">
      <c r="B58" s="78" t="s">
        <v>96</v>
      </c>
      <c r="C58" s="78"/>
      <c r="D58" s="78"/>
    </row>
    <row r="59" spans="2:9" x14ac:dyDescent="0.2">
      <c r="B59" s="78" t="s">
        <v>97</v>
      </c>
      <c r="C59" s="78"/>
      <c r="D59" s="78"/>
    </row>
    <row r="60" spans="2:9" x14ac:dyDescent="0.2">
      <c r="B60" s="78" t="s">
        <v>98</v>
      </c>
      <c r="C60" s="78"/>
      <c r="D60" s="78"/>
    </row>
    <row r="61" spans="2:9" x14ac:dyDescent="0.2">
      <c r="B61" s="78" t="s">
        <v>99</v>
      </c>
      <c r="C61" s="78"/>
      <c r="D61" s="78"/>
    </row>
    <row r="62" spans="2:9" x14ac:dyDescent="0.2">
      <c r="B62" s="78" t="s">
        <v>100</v>
      </c>
      <c r="C62" s="78"/>
      <c r="D62" s="78"/>
    </row>
    <row r="63" spans="2:9" x14ac:dyDescent="0.2">
      <c r="B63" s="78" t="s">
        <v>101</v>
      </c>
      <c r="C63" s="78"/>
      <c r="D63" s="78"/>
    </row>
    <row r="64" spans="2:9" x14ac:dyDescent="0.2">
      <c r="B64" s="78" t="s">
        <v>102</v>
      </c>
      <c r="C64" s="78"/>
      <c r="D64" s="78"/>
    </row>
    <row r="65" spans="2:4" x14ac:dyDescent="0.2">
      <c r="B65" s="78" t="s">
        <v>103</v>
      </c>
      <c r="C65" s="78"/>
      <c r="D65" s="78"/>
    </row>
    <row r="66" spans="2:4" x14ac:dyDescent="0.2">
      <c r="B66" s="78" t="s">
        <v>104</v>
      </c>
      <c r="C66" s="78"/>
      <c r="D66" s="78"/>
    </row>
    <row r="67" spans="2:4" x14ac:dyDescent="0.2">
      <c r="B67" s="78" t="s">
        <v>105</v>
      </c>
      <c r="C67" s="78"/>
      <c r="D67" s="78"/>
    </row>
    <row r="68" spans="2:4" x14ac:dyDescent="0.2">
      <c r="B68" s="78" t="s">
        <v>106</v>
      </c>
      <c r="C68" s="78"/>
      <c r="D68" s="78"/>
    </row>
    <row r="70" spans="2:4" x14ac:dyDescent="0.2">
      <c r="B70" s="78" t="s">
        <v>112</v>
      </c>
      <c r="C70" s="78"/>
      <c r="D70" s="78"/>
    </row>
  </sheetData>
  <mergeCells count="2">
    <mergeCell ref="C11:D11"/>
    <mergeCell ref="B8:G8"/>
  </mergeCells>
  <pageMargins left="0.7" right="0.7" top="0.75" bottom="0.75" header="0.3" footer="0.3"/>
  <pageSetup orientation="portrait" r:id="rId1"/>
  <ignoredErrors>
    <ignoredError sqref="D21" formula="1"/>
    <ignoredError sqref="C47:G47 C49:G54 F48:G48" evalError="1"/>
    <ignoredError sqref="C48:E48" evalError="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533400</xdr:colOff>
                <xdr:row>3</xdr:row>
                <xdr:rowOff>123825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O55"/>
  <sheetViews>
    <sheetView zoomScaleNormal="100" workbookViewId="0">
      <selection activeCell="I2" sqref="I2"/>
    </sheetView>
  </sheetViews>
  <sheetFormatPr defaultRowHeight="15" x14ac:dyDescent="0.25"/>
  <cols>
    <col min="1" max="1" width="9.140625" style="2"/>
    <col min="2" max="2" width="9.85546875" style="2" customWidth="1"/>
    <col min="3" max="3" width="33.28515625" style="2" customWidth="1"/>
    <col min="4" max="9" width="13.28515625" style="2" customWidth="1"/>
    <col min="10" max="11" width="8.7109375" style="2" hidden="1" customWidth="1"/>
    <col min="12" max="14" width="0" style="2" hidden="1" customWidth="1"/>
    <col min="15" max="15" width="11.28515625" style="2" hidden="1" customWidth="1"/>
    <col min="16" max="22" width="0" style="2" hidden="1" customWidth="1"/>
    <col min="23" max="16384" width="9.140625" style="2"/>
  </cols>
  <sheetData>
    <row r="3" spans="2:41" x14ac:dyDescent="0.25">
      <c r="H3" s="81" t="s">
        <v>108</v>
      </c>
    </row>
    <row r="4" spans="2:41" ht="12.75" customHeight="1" x14ac:dyDescent="0.25">
      <c r="D4" s="113"/>
      <c r="E4" s="113"/>
      <c r="F4" s="113"/>
      <c r="G4" s="113"/>
      <c r="H4" s="113"/>
      <c r="I4" s="113"/>
    </row>
    <row r="5" spans="2:41" ht="17.25" customHeight="1" x14ac:dyDescent="0.25"/>
    <row r="8" spans="2:41" ht="15.75" x14ac:dyDescent="0.25">
      <c r="B8" s="114">
        <v>13.02</v>
      </c>
      <c r="C8" s="115" t="s">
        <v>109</v>
      </c>
      <c r="D8" s="115"/>
      <c r="E8" s="115"/>
      <c r="F8" s="115"/>
      <c r="G8" s="115"/>
      <c r="H8" s="115"/>
      <c r="I8" s="116"/>
    </row>
    <row r="9" spans="2:41" x14ac:dyDescent="0.25">
      <c r="C9" s="117"/>
      <c r="D9" s="117"/>
      <c r="E9" s="117"/>
      <c r="F9" s="117"/>
      <c r="G9" s="117"/>
      <c r="H9" s="117"/>
      <c r="I9" s="117"/>
    </row>
    <row r="10" spans="2:41" x14ac:dyDescent="0.25">
      <c r="C10" s="117"/>
      <c r="D10" s="118"/>
      <c r="E10" s="118"/>
      <c r="H10" s="119" t="s">
        <v>0</v>
      </c>
      <c r="I10" s="25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2:41" x14ac:dyDescent="0.25">
      <c r="B11" s="120"/>
      <c r="C11" s="121"/>
      <c r="D11" s="122">
        <v>2010</v>
      </c>
      <c r="E11" s="122">
        <v>2011</v>
      </c>
      <c r="F11" s="122">
        <v>2012</v>
      </c>
      <c r="G11" s="122">
        <v>2013</v>
      </c>
      <c r="H11" s="122">
        <v>2014</v>
      </c>
      <c r="I11" s="12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2:41" x14ac:dyDescent="0.25">
      <c r="B12" s="120"/>
      <c r="C12" s="124"/>
      <c r="D12" s="123"/>
      <c r="E12" s="123"/>
      <c r="F12" s="123"/>
      <c r="G12" s="123"/>
      <c r="H12" s="123"/>
      <c r="I12" s="12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2:41" x14ac:dyDescent="0.25">
      <c r="B13" s="125"/>
      <c r="C13" s="126" t="s">
        <v>26</v>
      </c>
      <c r="D13" s="24">
        <v>517719</v>
      </c>
      <c r="E13" s="24">
        <v>545901</v>
      </c>
      <c r="F13" s="24">
        <v>564536.89142</v>
      </c>
      <c r="G13" s="24">
        <f>[3]Report!$E$6*1000</f>
        <v>635122.31337000011</v>
      </c>
      <c r="H13" s="24">
        <f>[1]Report!$F$6*1000</f>
        <v>664296</v>
      </c>
      <c r="I13" s="2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2:41" x14ac:dyDescent="0.25">
      <c r="B14" s="125"/>
      <c r="C14" s="126"/>
      <c r="D14" s="24"/>
      <c r="E14" s="24"/>
      <c r="F14" s="24"/>
      <c r="G14" s="24"/>
      <c r="H14" s="24"/>
      <c r="I14" s="2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2:41" x14ac:dyDescent="0.25">
      <c r="B15" s="120"/>
      <c r="C15" s="126" t="s">
        <v>27</v>
      </c>
      <c r="D15" s="24">
        <v>457355</v>
      </c>
      <c r="E15" s="128">
        <v>488680</v>
      </c>
      <c r="F15" s="128">
        <v>504843</v>
      </c>
      <c r="G15" s="128">
        <v>584659</v>
      </c>
      <c r="H15" s="128">
        <v>630071</v>
      </c>
      <c r="I15" s="12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2:41" x14ac:dyDescent="0.25">
      <c r="B16" s="125"/>
      <c r="C16" s="129" t="s">
        <v>28</v>
      </c>
      <c r="D16" s="130">
        <v>21308</v>
      </c>
      <c r="E16" s="130">
        <v>36393</v>
      </c>
      <c r="F16" s="130">
        <v>36679.090639999995</v>
      </c>
      <c r="G16" s="130">
        <f>[3]Report!$E$11*1000</f>
        <v>31257.984220000009</v>
      </c>
      <c r="H16" s="130">
        <f>[1]revenues!$E$129</f>
        <v>41598</v>
      </c>
      <c r="I16" s="13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2:41" x14ac:dyDescent="0.25">
      <c r="B17" s="125"/>
      <c r="C17" s="129" t="s">
        <v>29</v>
      </c>
      <c r="D17" s="130">
        <v>277244</v>
      </c>
      <c r="E17" s="130">
        <v>289472</v>
      </c>
      <c r="F17" s="130">
        <v>296610.34878999996</v>
      </c>
      <c r="G17" s="130">
        <f>[3]Report!$E$10*1000</f>
        <v>377271.59314000013</v>
      </c>
      <c r="H17" s="130">
        <f>[1]revenues!$E$122</f>
        <v>408646</v>
      </c>
      <c r="I17" s="130"/>
      <c r="J17" s="22"/>
      <c r="K17" s="131">
        <f>+E16+E17+E23+E26</f>
        <v>488680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2:41" x14ac:dyDescent="0.25">
      <c r="B18" s="125"/>
      <c r="C18" s="132" t="s">
        <v>30</v>
      </c>
      <c r="D18" s="133">
        <v>61422</v>
      </c>
      <c r="E18" s="133">
        <v>66004</v>
      </c>
      <c r="F18" s="133">
        <v>65064.480739999999</v>
      </c>
      <c r="G18" s="133">
        <f>[3]revenues!$E$75+[3]revenues!$E$76+[3]revenues!$E$77+[3]revenues!$E$78</f>
        <v>85192.334819999989</v>
      </c>
      <c r="H18" s="133">
        <f>[1]revenues!$E$75+[1]revenues!$E$76+[1]revenues!$E$77+[1]revenues!$E$78</f>
        <v>102201</v>
      </c>
      <c r="I18" s="133"/>
    </row>
    <row r="19" spans="2:41" x14ac:dyDescent="0.25">
      <c r="B19" s="125"/>
      <c r="C19" s="132" t="s">
        <v>31</v>
      </c>
      <c r="D19" s="133">
        <v>23959</v>
      </c>
      <c r="E19" s="133">
        <v>24309</v>
      </c>
      <c r="F19" s="133">
        <v>22440.25</v>
      </c>
      <c r="G19" s="133">
        <f>[3]revenues!$E$23</f>
        <v>34899.202160000001</v>
      </c>
      <c r="H19" s="133">
        <f>[1]revenues!$E$23</f>
        <v>34418</v>
      </c>
      <c r="I19" s="133"/>
    </row>
    <row r="20" spans="2:41" x14ac:dyDescent="0.25">
      <c r="B20" s="125"/>
      <c r="C20" s="132" t="s">
        <v>32</v>
      </c>
      <c r="D20" s="133">
        <v>49492</v>
      </c>
      <c r="E20" s="133">
        <v>48792</v>
      </c>
      <c r="F20" s="133">
        <v>48704.560429999998</v>
      </c>
      <c r="G20" s="133">
        <f>[3]revenues!$E$104</f>
        <v>56249.268179999999</v>
      </c>
      <c r="H20" s="133">
        <f>[1]revenues!$E$110</f>
        <v>60198</v>
      </c>
      <c r="I20" s="133"/>
      <c r="K20" s="134">
        <f>SUM(E18:E22)</f>
        <v>159165</v>
      </c>
    </row>
    <row r="21" spans="2:41" x14ac:dyDescent="0.25">
      <c r="B21" s="125"/>
      <c r="C21" s="132" t="s">
        <v>33</v>
      </c>
      <c r="D21" s="133">
        <v>9804</v>
      </c>
      <c r="E21" s="133">
        <v>11077</v>
      </c>
      <c r="F21" s="133">
        <v>12178.68902</v>
      </c>
      <c r="G21" s="133">
        <f>[3]revenues!$E$100</f>
        <v>15772.251990000001</v>
      </c>
      <c r="H21" s="133">
        <f>[1]revenues!$E$105</f>
        <v>19503</v>
      </c>
      <c r="I21" s="133"/>
    </row>
    <row r="22" spans="2:41" x14ac:dyDescent="0.25">
      <c r="B22" s="125"/>
      <c r="C22" s="132" t="s">
        <v>34</v>
      </c>
      <c r="D22" s="133">
        <v>8640</v>
      </c>
      <c r="E22" s="133">
        <v>8983</v>
      </c>
      <c r="F22" s="133">
        <v>9313.4710899999991</v>
      </c>
      <c r="G22" s="133">
        <f>[3]revenues!$E$69</f>
        <v>10681.001649999998</v>
      </c>
      <c r="H22" s="133">
        <f>[1]revenues!$E$69</f>
        <v>11591</v>
      </c>
      <c r="I22" s="133"/>
      <c r="J22" s="134">
        <f>SUM(E18:E22)</f>
        <v>159165</v>
      </c>
      <c r="K22" s="134"/>
    </row>
    <row r="23" spans="2:41" x14ac:dyDescent="0.25">
      <c r="B23" s="125"/>
      <c r="C23" s="129" t="s">
        <v>35</v>
      </c>
      <c r="D23" s="130">
        <v>158510</v>
      </c>
      <c r="E23" s="135">
        <v>162247</v>
      </c>
      <c r="F23" s="135">
        <v>167156.83785000001</v>
      </c>
      <c r="G23" s="135">
        <f>[3]Report!$E$9*1000</f>
        <v>173318.49763999999</v>
      </c>
      <c r="H23" s="135">
        <f>[1]revenues!$E$13+[1]revenues!$E$19</f>
        <v>177860</v>
      </c>
      <c r="I23" s="135"/>
    </row>
    <row r="24" spans="2:41" x14ac:dyDescent="0.25">
      <c r="B24" s="125"/>
      <c r="C24" s="132" t="s">
        <v>36</v>
      </c>
      <c r="D24" s="133">
        <v>143901</v>
      </c>
      <c r="E24" s="133">
        <v>149150</v>
      </c>
      <c r="F24" s="133">
        <v>152929.94491000002</v>
      </c>
      <c r="G24" s="133">
        <f>[3]revenues!$E$13</f>
        <v>158210.67079999999</v>
      </c>
      <c r="H24" s="133">
        <f>[1]revenues!$E$13</f>
        <v>162654</v>
      </c>
      <c r="I24" s="133"/>
    </row>
    <row r="25" spans="2:41" x14ac:dyDescent="0.25">
      <c r="B25" s="125"/>
      <c r="C25" s="132" t="s">
        <v>37</v>
      </c>
      <c r="D25" s="133">
        <v>14609</v>
      </c>
      <c r="E25" s="133">
        <v>13097</v>
      </c>
      <c r="F25" s="133">
        <v>14226.892940000002</v>
      </c>
      <c r="G25" s="133">
        <f>[3]revenues!$E$19</f>
        <v>15107.82684</v>
      </c>
      <c r="H25" s="133">
        <f>[1]revenues!$E$19</f>
        <v>15206</v>
      </c>
      <c r="I25" s="133"/>
    </row>
    <row r="26" spans="2:41" x14ac:dyDescent="0.25">
      <c r="B26" s="125"/>
      <c r="C26" s="129" t="s">
        <v>38</v>
      </c>
      <c r="D26" s="130">
        <v>293</v>
      </c>
      <c r="E26" s="130">
        <v>568</v>
      </c>
      <c r="F26" s="130">
        <v>3058.4418999999998</v>
      </c>
      <c r="G26" s="130">
        <f>[3]Report!$E$13*1000</f>
        <v>1184.68677</v>
      </c>
      <c r="H26" s="130">
        <f>[1]Working!$E$8+[1]Working!$E$9+[1]Working!$E$10</f>
        <v>1168</v>
      </c>
      <c r="I26" s="130"/>
    </row>
    <row r="27" spans="2:41" x14ac:dyDescent="0.25">
      <c r="B27" s="125"/>
      <c r="C27" s="129"/>
      <c r="D27" s="117"/>
      <c r="E27" s="117"/>
      <c r="F27" s="130"/>
      <c r="G27" s="130"/>
      <c r="H27" s="130"/>
      <c r="I27" s="130"/>
    </row>
    <row r="28" spans="2:41" x14ac:dyDescent="0.25">
      <c r="B28" s="125"/>
      <c r="C28" s="126" t="s">
        <v>39</v>
      </c>
      <c r="D28" s="24">
        <v>58399</v>
      </c>
      <c r="E28" s="24">
        <v>56941</v>
      </c>
      <c r="F28" s="24">
        <v>56939.641170000017</v>
      </c>
      <c r="G28" s="24">
        <f>G29+G30+G31+G32</f>
        <v>52210.983850000033</v>
      </c>
      <c r="H28" s="24">
        <f>H29+H30+H31+H32</f>
        <v>35751</v>
      </c>
      <c r="I28" s="24"/>
    </row>
    <row r="29" spans="2:41" x14ac:dyDescent="0.25">
      <c r="B29" s="125"/>
      <c r="C29" s="129" t="s">
        <v>40</v>
      </c>
      <c r="D29" s="130">
        <v>56215</v>
      </c>
      <c r="E29" s="130">
        <v>55760</v>
      </c>
      <c r="F29" s="130">
        <v>55005.491660000014</v>
      </c>
      <c r="G29" s="130">
        <f>[3]Report!$E$15*1000</f>
        <v>48919.148640000029</v>
      </c>
      <c r="H29" s="130">
        <f>[1]Report!$F$15*1000</f>
        <v>32957</v>
      </c>
      <c r="I29" s="130"/>
      <c r="J29" s="134">
        <f>SUM(E29:E30)</f>
        <v>56941</v>
      </c>
    </row>
    <row r="30" spans="2:41" x14ac:dyDescent="0.25">
      <c r="B30" s="125"/>
      <c r="C30" s="129" t="s">
        <v>41</v>
      </c>
      <c r="D30" s="130">
        <v>1610</v>
      </c>
      <c r="E30" s="130">
        <v>1181</v>
      </c>
      <c r="F30" s="130">
        <v>1337.9638299999999</v>
      </c>
      <c r="G30" s="130">
        <f>[3]Report!$E$12*1000</f>
        <v>1625.84773</v>
      </c>
      <c r="H30" s="130">
        <f>[1]Report!$F$12*1000</f>
        <v>1626</v>
      </c>
      <c r="I30" s="130"/>
    </row>
    <row r="31" spans="2:41" x14ac:dyDescent="0.25">
      <c r="B31" s="125"/>
      <c r="C31" s="129" t="s">
        <v>42</v>
      </c>
      <c r="D31" s="130">
        <v>574</v>
      </c>
      <c r="E31" s="137" t="s">
        <v>65</v>
      </c>
      <c r="F31" s="136">
        <v>596.18568000000005</v>
      </c>
      <c r="G31" s="136">
        <f>([3]Report!$E$18+[3]Report!$E$16)*1000</f>
        <v>1250.73397</v>
      </c>
      <c r="H31" s="136">
        <f>([1]Report!$F$16+[1]Report!$F$18)*1000</f>
        <v>796</v>
      </c>
      <c r="I31" s="136"/>
    </row>
    <row r="32" spans="2:41" x14ac:dyDescent="0.25">
      <c r="B32" s="125"/>
      <c r="C32" s="138" t="s">
        <v>43</v>
      </c>
      <c r="D32" s="140" t="s">
        <v>65</v>
      </c>
      <c r="E32" s="139">
        <v>4237</v>
      </c>
      <c r="F32" s="139">
        <v>4092.53107</v>
      </c>
      <c r="G32" s="139">
        <f>[3]Report!$E$17*1000</f>
        <v>415.25351000000006</v>
      </c>
      <c r="H32" s="139">
        <f>[1]Report!$F$17*1000</f>
        <v>372</v>
      </c>
      <c r="I32" s="139"/>
    </row>
    <row r="33" spans="2:23" x14ac:dyDescent="0.25">
      <c r="B33" s="125"/>
      <c r="C33" s="141"/>
      <c r="D33" s="142"/>
      <c r="E33" s="142"/>
      <c r="F33" s="142"/>
      <c r="G33" s="142"/>
      <c r="H33" s="142"/>
      <c r="I33" s="22"/>
    </row>
    <row r="34" spans="2:23" x14ac:dyDescent="0.25">
      <c r="B34" s="125"/>
      <c r="C34" s="143"/>
    </row>
    <row r="35" spans="2:23" x14ac:dyDescent="0.25">
      <c r="B35" s="22"/>
    </row>
    <row r="37" spans="2:23" x14ac:dyDescent="0.25">
      <c r="B37" s="144"/>
      <c r="C37" s="22"/>
    </row>
    <row r="38" spans="2:23" x14ac:dyDescent="0.25">
      <c r="B38" s="144"/>
      <c r="N38" s="145" t="s">
        <v>44</v>
      </c>
      <c r="O38" s="146" t="s">
        <v>45</v>
      </c>
    </row>
    <row r="39" spans="2:23" x14ac:dyDescent="0.25">
      <c r="B39" s="144"/>
      <c r="N39" s="146">
        <v>1999</v>
      </c>
      <c r="O39" s="127">
        <v>275656</v>
      </c>
      <c r="P39" s="24"/>
      <c r="Q39" s="24"/>
      <c r="R39" s="24"/>
      <c r="S39" s="24"/>
      <c r="T39" s="24"/>
      <c r="U39" s="24"/>
      <c r="V39" s="24"/>
      <c r="W39" s="24"/>
    </row>
    <row r="40" spans="2:23" x14ac:dyDescent="0.25">
      <c r="B40" s="144"/>
      <c r="N40" s="146">
        <v>2000</v>
      </c>
      <c r="O40" s="130">
        <v>276926</v>
      </c>
    </row>
    <row r="41" spans="2:23" x14ac:dyDescent="0.25">
      <c r="B41" s="144"/>
      <c r="C41" s="22"/>
      <c r="N41" s="146">
        <v>2001</v>
      </c>
      <c r="O41" s="130">
        <v>285101</v>
      </c>
    </row>
    <row r="42" spans="2:23" x14ac:dyDescent="0.25">
      <c r="B42" s="144"/>
      <c r="C42" s="22"/>
      <c r="N42" s="146">
        <v>2002</v>
      </c>
      <c r="O42" s="130">
        <v>313483</v>
      </c>
    </row>
    <row r="43" spans="2:23" x14ac:dyDescent="0.25">
      <c r="B43" s="144"/>
      <c r="C43" s="22"/>
      <c r="N43" s="146">
        <v>2003</v>
      </c>
      <c r="O43" s="130">
        <v>326226</v>
      </c>
    </row>
    <row r="44" spans="2:23" x14ac:dyDescent="0.25">
      <c r="B44" s="144"/>
      <c r="C44" s="22"/>
      <c r="N44" s="146">
        <v>2004</v>
      </c>
      <c r="O44" s="130">
        <v>336400</v>
      </c>
    </row>
    <row r="45" spans="2:23" x14ac:dyDescent="0.25">
      <c r="B45" s="144"/>
      <c r="C45" s="22"/>
      <c r="N45" s="146">
        <v>2005</v>
      </c>
      <c r="O45" s="130">
        <v>428580</v>
      </c>
    </row>
    <row r="46" spans="2:23" x14ac:dyDescent="0.25">
      <c r="B46" s="144"/>
      <c r="C46" s="22"/>
      <c r="N46" s="146">
        <v>2006</v>
      </c>
      <c r="O46" s="130">
        <v>500370</v>
      </c>
    </row>
    <row r="47" spans="2:23" x14ac:dyDescent="0.25">
      <c r="B47" s="144"/>
      <c r="C47" s="22"/>
      <c r="N47" s="146">
        <v>2007</v>
      </c>
      <c r="O47" s="130">
        <v>513004</v>
      </c>
    </row>
    <row r="48" spans="2:23" x14ac:dyDescent="0.25">
      <c r="B48" s="144"/>
      <c r="C48" s="22"/>
      <c r="N48" s="146">
        <v>2008</v>
      </c>
      <c r="O48" s="130" t="e">
        <f>+#REF!</f>
        <v>#REF!</v>
      </c>
    </row>
    <row r="49" spans="2:15" x14ac:dyDescent="0.25">
      <c r="B49" s="144"/>
      <c r="C49" s="22"/>
      <c r="N49" s="146">
        <v>2009</v>
      </c>
      <c r="O49" s="134" t="e">
        <f>#REF!</f>
        <v>#REF!</v>
      </c>
    </row>
    <row r="50" spans="2:15" x14ac:dyDescent="0.25">
      <c r="B50" s="144"/>
      <c r="C50" s="22"/>
      <c r="N50" s="146">
        <v>2010</v>
      </c>
      <c r="O50" s="134">
        <f>D13</f>
        <v>517719</v>
      </c>
    </row>
    <row r="51" spans="2:15" x14ac:dyDescent="0.25">
      <c r="B51" s="144"/>
      <c r="C51" s="22"/>
      <c r="N51" s="146">
        <v>2011</v>
      </c>
      <c r="O51" s="134">
        <f>E13</f>
        <v>545901</v>
      </c>
    </row>
    <row r="52" spans="2:15" x14ac:dyDescent="0.25">
      <c r="C52" s="147" t="s">
        <v>46</v>
      </c>
    </row>
    <row r="53" spans="2:15" x14ac:dyDescent="0.25">
      <c r="B53" s="19"/>
      <c r="C53" s="19"/>
    </row>
    <row r="55" spans="2:15" x14ac:dyDescent="0.25">
      <c r="B55" s="148"/>
      <c r="C55" s="148"/>
      <c r="D55" s="148"/>
      <c r="E55" s="148"/>
      <c r="F55" s="148"/>
      <c r="G55" s="148"/>
      <c r="H55" s="148"/>
      <c r="I55" s="148"/>
    </row>
  </sheetData>
  <mergeCells count="1">
    <mergeCell ref="C8:H8"/>
  </mergeCells>
  <pageMargins left="0.7" right="0.7" top="0.75" bottom="0.75" header="0.3" footer="0.3"/>
  <pageSetup scale="68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180975</xdr:colOff>
                <xdr:row>3</xdr:row>
                <xdr:rowOff>57150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W561"/>
  <sheetViews>
    <sheetView topLeftCell="A10" zoomScaleNormal="100" workbookViewId="0">
      <selection activeCell="J50" sqref="J50"/>
    </sheetView>
  </sheetViews>
  <sheetFormatPr defaultRowHeight="15" x14ac:dyDescent="0.25"/>
  <cols>
    <col min="2" max="2" width="9.42578125" customWidth="1"/>
    <col min="3" max="3" width="6.140625" customWidth="1"/>
    <col min="4" max="4" width="12.42578125" customWidth="1"/>
    <col min="5" max="5" width="9.28515625" customWidth="1"/>
    <col min="6" max="6" width="10" customWidth="1"/>
    <col min="7" max="7" width="10.28515625" customWidth="1"/>
    <col min="8" max="8" width="11.85546875" customWidth="1"/>
    <col min="9" max="9" width="11.7109375" customWidth="1"/>
    <col min="10" max="10" width="11.85546875" customWidth="1"/>
    <col min="11" max="11" width="9.85546875" style="2" customWidth="1"/>
    <col min="12" max="12" width="12.140625" customWidth="1"/>
    <col min="13" max="13" width="10.28515625" customWidth="1"/>
    <col min="14" max="14" width="9.28515625" bestFit="1" customWidth="1"/>
    <col min="15" max="15" width="10.5703125" bestFit="1" customWidth="1"/>
    <col min="16" max="16" width="11" customWidth="1"/>
    <col min="22" max="22" width="12" customWidth="1"/>
    <col min="23" max="23" width="13.85546875" customWidth="1"/>
  </cols>
  <sheetData>
    <row r="4" spans="2:20" x14ac:dyDescent="0.25">
      <c r="I4" s="82" t="s">
        <v>59</v>
      </c>
      <c r="J4" s="82"/>
      <c r="K4" s="82"/>
      <c r="L4" s="82"/>
      <c r="M4" s="27"/>
    </row>
    <row r="5" spans="2:20" s="1" customFormat="1" x14ac:dyDescent="0.25"/>
    <row r="6" spans="2:20" s="2" customFormat="1" x14ac:dyDescent="0.25"/>
    <row r="8" spans="2:20" ht="15.75" x14ac:dyDescent="0.25">
      <c r="B8" s="30">
        <v>13.01</v>
      </c>
      <c r="C8" s="84" t="s">
        <v>69</v>
      </c>
      <c r="D8" s="84"/>
      <c r="E8" s="84"/>
      <c r="F8" s="84"/>
      <c r="G8" s="84"/>
      <c r="H8" s="84"/>
      <c r="I8" s="84"/>
      <c r="J8" s="84"/>
      <c r="K8" s="84"/>
      <c r="L8" s="43"/>
      <c r="M8" s="3"/>
      <c r="O8">
        <v>393.5</v>
      </c>
      <c r="P8">
        <v>404.82100000000003</v>
      </c>
      <c r="Q8">
        <v>451.78699999999998</v>
      </c>
      <c r="R8">
        <v>452.66300000000001</v>
      </c>
      <c r="T8">
        <v>454.358</v>
      </c>
    </row>
    <row r="9" spans="2:20" ht="15.75" x14ac:dyDescent="0.25">
      <c r="B9" s="30"/>
      <c r="C9" s="44"/>
      <c r="D9" s="43"/>
      <c r="E9" s="43"/>
      <c r="F9" s="43"/>
      <c r="G9" s="43"/>
      <c r="H9" s="32"/>
      <c r="I9" s="43"/>
      <c r="J9" s="43"/>
      <c r="K9" s="43"/>
      <c r="L9" s="43"/>
      <c r="M9" s="3"/>
      <c r="O9">
        <v>433.1</v>
      </c>
      <c r="P9">
        <v>551.98900000000003</v>
      </c>
      <c r="Q9">
        <v>653.32799999999997</v>
      </c>
      <c r="R9">
        <v>619.96799999999996</v>
      </c>
      <c r="T9">
        <v>578.16099999999994</v>
      </c>
    </row>
    <row r="10" spans="2:20" x14ac:dyDescent="0.25">
      <c r="B10" s="31"/>
      <c r="C10" s="35"/>
      <c r="D10" s="35"/>
      <c r="E10" s="35"/>
      <c r="F10" s="35"/>
      <c r="G10" s="35"/>
      <c r="H10" s="35"/>
      <c r="I10" s="35"/>
      <c r="J10" s="35"/>
      <c r="K10" s="31"/>
      <c r="L10" s="32" t="s">
        <v>60</v>
      </c>
      <c r="M10" s="4"/>
    </row>
    <row r="11" spans="2:20" x14ac:dyDescent="0.25">
      <c r="B11" s="31"/>
      <c r="C11" s="31"/>
      <c r="D11" s="85" t="s">
        <v>1</v>
      </c>
      <c r="E11" s="86"/>
      <c r="F11" s="87"/>
      <c r="G11" s="45"/>
      <c r="H11" s="85" t="s">
        <v>2</v>
      </c>
      <c r="I11" s="86"/>
      <c r="J11" s="86"/>
      <c r="K11" s="86"/>
      <c r="L11" s="46"/>
      <c r="M11" s="29"/>
    </row>
    <row r="12" spans="2:20" ht="51" x14ac:dyDescent="0.25">
      <c r="B12" s="31"/>
      <c r="C12" s="47" t="s">
        <v>3</v>
      </c>
      <c r="D12" s="48" t="s">
        <v>4</v>
      </c>
      <c r="E12" s="49" t="s">
        <v>5</v>
      </c>
      <c r="F12" s="47" t="s">
        <v>6</v>
      </c>
      <c r="G12" s="50" t="s">
        <v>7</v>
      </c>
      <c r="H12" s="49" t="s">
        <v>8</v>
      </c>
      <c r="I12" s="49" t="s">
        <v>9</v>
      </c>
      <c r="J12" s="49" t="s">
        <v>10</v>
      </c>
      <c r="K12" s="49" t="s">
        <v>11</v>
      </c>
      <c r="L12" s="47" t="s">
        <v>12</v>
      </c>
      <c r="M12" s="7"/>
    </row>
    <row r="13" spans="2:20" x14ac:dyDescent="0.25">
      <c r="B13" s="31"/>
      <c r="C13" s="38"/>
      <c r="D13" s="51"/>
      <c r="E13" s="52"/>
      <c r="F13" s="52"/>
      <c r="G13" s="53"/>
      <c r="H13" s="52"/>
      <c r="I13" s="52"/>
      <c r="J13" s="52"/>
      <c r="K13" s="52"/>
      <c r="L13" s="52"/>
      <c r="M13" s="8"/>
    </row>
    <row r="14" spans="2:20" x14ac:dyDescent="0.25">
      <c r="B14" s="31"/>
      <c r="C14" s="54">
        <v>1984</v>
      </c>
      <c r="D14" s="55">
        <v>53679.922000000006</v>
      </c>
      <c r="E14" s="56" t="s">
        <v>13</v>
      </c>
      <c r="F14" s="40">
        <v>7552.4686099999999</v>
      </c>
      <c r="G14" s="57"/>
      <c r="H14" s="40">
        <v>42167.594779999999</v>
      </c>
      <c r="I14" s="40">
        <v>1816.9974499999998</v>
      </c>
      <c r="J14" s="40">
        <v>18839.542029999997</v>
      </c>
      <c r="K14" s="40">
        <v>18839.542029999997</v>
      </c>
      <c r="L14" s="40">
        <f t="shared" ref="L14:L21" si="0">D14+F14-H14-I14-J14</f>
        <v>-1591.7436499999931</v>
      </c>
      <c r="M14" s="10"/>
    </row>
    <row r="15" spans="2:20" x14ac:dyDescent="0.25">
      <c r="B15" s="31"/>
      <c r="C15" s="54">
        <v>1985</v>
      </c>
      <c r="D15" s="55">
        <v>56117.314809999989</v>
      </c>
      <c r="E15" s="56" t="s">
        <v>13</v>
      </c>
      <c r="F15" s="40">
        <v>165.82595000000001</v>
      </c>
      <c r="G15" s="57"/>
      <c r="H15" s="40">
        <v>46031.281419999999</v>
      </c>
      <c r="I15" s="40">
        <v>3271.3753200000001</v>
      </c>
      <c r="J15" s="40">
        <v>7524.4588000000003</v>
      </c>
      <c r="K15" s="40">
        <v>7524.4588000000003</v>
      </c>
      <c r="L15" s="40">
        <f t="shared" si="0"/>
        <v>-543.97478000001229</v>
      </c>
      <c r="M15" s="10"/>
    </row>
    <row r="16" spans="2:20" x14ac:dyDescent="0.25">
      <c r="B16" s="31"/>
      <c r="C16" s="54">
        <v>1986</v>
      </c>
      <c r="D16" s="55">
        <v>62944.523450000022</v>
      </c>
      <c r="E16" s="56" t="s">
        <v>13</v>
      </c>
      <c r="F16" s="40">
        <v>3110.0215499999999</v>
      </c>
      <c r="G16" s="57"/>
      <c r="H16" s="40">
        <v>52030.187599999997</v>
      </c>
      <c r="I16" s="40">
        <v>3546.18831</v>
      </c>
      <c r="J16" s="40">
        <v>7227.5434500000001</v>
      </c>
      <c r="K16" s="40">
        <v>7227.5434500000001</v>
      </c>
      <c r="L16" s="40">
        <f t="shared" si="0"/>
        <v>3250.6256400000302</v>
      </c>
      <c r="M16" s="10"/>
    </row>
    <row r="17" spans="1:19" x14ac:dyDescent="0.25">
      <c r="B17" s="31"/>
      <c r="C17" s="54">
        <v>1987</v>
      </c>
      <c r="D17" s="55">
        <v>72012.340520000027</v>
      </c>
      <c r="E17" s="56" t="s">
        <v>13</v>
      </c>
      <c r="F17" s="40">
        <v>5335.6034799999998</v>
      </c>
      <c r="G17" s="57"/>
      <c r="H17" s="40">
        <v>57116.56394</v>
      </c>
      <c r="I17" s="40">
        <v>3714.0694900000003</v>
      </c>
      <c r="J17" s="40">
        <v>11836.162540000001</v>
      </c>
      <c r="K17" s="40">
        <v>11836.162540000001</v>
      </c>
      <c r="L17" s="40">
        <f t="shared" si="0"/>
        <v>4681.1480300000294</v>
      </c>
      <c r="M17" s="10"/>
    </row>
    <row r="18" spans="1:19" x14ac:dyDescent="0.25">
      <c r="B18" s="31"/>
      <c r="C18" s="54">
        <v>1988</v>
      </c>
      <c r="D18" s="55">
        <v>84980.603000000003</v>
      </c>
      <c r="E18" s="56" t="s">
        <v>13</v>
      </c>
      <c r="F18" s="40">
        <v>6837.9189999999999</v>
      </c>
      <c r="G18" s="57"/>
      <c r="H18" s="40">
        <v>69237</v>
      </c>
      <c r="I18" s="40">
        <v>4808.1980000000003</v>
      </c>
      <c r="J18" s="40">
        <v>14364</v>
      </c>
      <c r="K18" s="40">
        <v>14364</v>
      </c>
      <c r="L18" s="40">
        <f t="shared" si="0"/>
        <v>3409.3239999999969</v>
      </c>
      <c r="M18" s="10"/>
    </row>
    <row r="19" spans="1:19" x14ac:dyDescent="0.25">
      <c r="B19" s="31"/>
      <c r="C19" s="54">
        <v>1989</v>
      </c>
      <c r="D19" s="55">
        <v>95937.717000000033</v>
      </c>
      <c r="E19" s="56" t="s">
        <v>13</v>
      </c>
      <c r="F19" s="40">
        <v>4564.8549999999996</v>
      </c>
      <c r="G19" s="57"/>
      <c r="H19" s="40">
        <v>79658</v>
      </c>
      <c r="I19" s="40">
        <v>5760.86</v>
      </c>
      <c r="J19" s="40">
        <v>17016</v>
      </c>
      <c r="K19" s="40">
        <v>17016</v>
      </c>
      <c r="L19" s="40">
        <f t="shared" si="0"/>
        <v>-1932.2879999999714</v>
      </c>
      <c r="M19" s="10"/>
      <c r="N19" s="11"/>
    </row>
    <row r="20" spans="1:19" x14ac:dyDescent="0.25">
      <c r="B20" s="31"/>
      <c r="C20" s="54">
        <v>1990</v>
      </c>
      <c r="D20" s="55">
        <v>101830.508</v>
      </c>
      <c r="E20" s="56" t="s">
        <v>13</v>
      </c>
      <c r="F20" s="40">
        <v>858.90200000000004</v>
      </c>
      <c r="G20" s="57"/>
      <c r="H20" s="40">
        <v>87374</v>
      </c>
      <c r="I20" s="40">
        <v>5924.7169999999996</v>
      </c>
      <c r="J20" s="40">
        <v>15535</v>
      </c>
      <c r="K20" s="40">
        <v>15535</v>
      </c>
      <c r="L20" s="40">
        <f t="shared" si="0"/>
        <v>-6144.3069999999971</v>
      </c>
      <c r="M20" s="10"/>
    </row>
    <row r="21" spans="1:19" x14ac:dyDescent="0.25">
      <c r="B21" s="31"/>
      <c r="C21" s="54">
        <v>1991</v>
      </c>
      <c r="D21" s="55">
        <v>113245.93399999998</v>
      </c>
      <c r="E21" s="56" t="s">
        <v>13</v>
      </c>
      <c r="F21" s="40">
        <v>14067.710999999999</v>
      </c>
      <c r="G21" s="57"/>
      <c r="H21" s="40">
        <v>102947</v>
      </c>
      <c r="I21" s="40">
        <v>7347.99</v>
      </c>
      <c r="J21" s="40">
        <v>18282</v>
      </c>
      <c r="K21" s="40">
        <v>18282</v>
      </c>
      <c r="L21" s="40">
        <f t="shared" si="0"/>
        <v>-1263.345000000023</v>
      </c>
      <c r="M21" s="10"/>
    </row>
    <row r="22" spans="1:19" x14ac:dyDescent="0.25">
      <c r="B22" s="31"/>
      <c r="C22" s="58">
        <v>1992</v>
      </c>
      <c r="D22" s="55">
        <v>121019.10100000002</v>
      </c>
      <c r="E22" s="56" t="s">
        <v>13</v>
      </c>
      <c r="F22" s="40">
        <v>6828.1410000000005</v>
      </c>
      <c r="G22" s="57">
        <f>SUM(D22:F22)</f>
        <v>127847.24200000003</v>
      </c>
      <c r="H22" s="40">
        <v>113252</v>
      </c>
      <c r="I22" s="40">
        <v>7891.4780000000001</v>
      </c>
      <c r="J22" s="40">
        <v>18113.59</v>
      </c>
      <c r="K22" s="56" t="s">
        <v>13</v>
      </c>
      <c r="L22" s="40">
        <f>SUM(H22:K22)</f>
        <v>139257.068</v>
      </c>
      <c r="M22" s="10"/>
      <c r="O22" s="11">
        <f>SUM(D22:E22)</f>
        <v>121019.10100000002</v>
      </c>
      <c r="S22" s="10">
        <f>SUM(P22:R22)</f>
        <v>0</v>
      </c>
    </row>
    <row r="23" spans="1:19" x14ac:dyDescent="0.25">
      <c r="B23" s="31"/>
      <c r="C23" s="54">
        <v>1993</v>
      </c>
      <c r="D23" s="55">
        <v>135300.891</v>
      </c>
      <c r="E23" s="56" t="s">
        <v>13</v>
      </c>
      <c r="F23" s="40">
        <v>17492.562000000002</v>
      </c>
      <c r="G23" s="57">
        <f t="shared" ref="G23:G29" si="1">SUM(D23:F23)</f>
        <v>152793.45300000001</v>
      </c>
      <c r="H23" s="40">
        <v>123614</v>
      </c>
      <c r="I23" s="40">
        <v>10151.233</v>
      </c>
      <c r="J23" s="40">
        <v>9607.7430000000004</v>
      </c>
      <c r="K23" s="56" t="s">
        <v>13</v>
      </c>
      <c r="L23" s="40">
        <f>SUM(H23:K23)</f>
        <v>143372.976</v>
      </c>
      <c r="M23" s="10"/>
      <c r="O23" s="11">
        <f t="shared" ref="O23:O42" si="2">SUM(D23:E23)</f>
        <v>135300.891</v>
      </c>
    </row>
    <row r="24" spans="1:19" x14ac:dyDescent="0.25">
      <c r="B24" s="31"/>
      <c r="C24" s="54">
        <v>1994</v>
      </c>
      <c r="D24" s="55">
        <v>152107.80099999998</v>
      </c>
      <c r="E24" s="56" t="s">
        <v>13</v>
      </c>
      <c r="F24" s="40">
        <v>4719.4179999999997</v>
      </c>
      <c r="G24" s="57">
        <f t="shared" si="1"/>
        <v>156827.21899999998</v>
      </c>
      <c r="H24" s="40">
        <v>126607</v>
      </c>
      <c r="I24" s="40">
        <v>12000.723</v>
      </c>
      <c r="J24" s="40">
        <v>18156.616000000002</v>
      </c>
      <c r="K24" s="56" t="s">
        <v>13</v>
      </c>
      <c r="L24" s="40">
        <f>SUM(H24:K24)</f>
        <v>156764.33900000001</v>
      </c>
      <c r="M24" s="10"/>
      <c r="O24" s="11">
        <f t="shared" si="2"/>
        <v>152107.80099999998</v>
      </c>
    </row>
    <row r="25" spans="1:19" x14ac:dyDescent="0.25">
      <c r="B25" s="31"/>
      <c r="C25" s="54">
        <v>1995</v>
      </c>
      <c r="D25" s="55">
        <v>174294</v>
      </c>
      <c r="E25" s="56" t="s">
        <v>13</v>
      </c>
      <c r="F25" s="40">
        <v>1772.27253</v>
      </c>
      <c r="G25" s="57">
        <f t="shared" si="1"/>
        <v>176066.27252999999</v>
      </c>
      <c r="H25" s="40">
        <v>138429.878</v>
      </c>
      <c r="I25" s="40">
        <v>19726.689999999999</v>
      </c>
      <c r="J25" s="40">
        <v>23701</v>
      </c>
      <c r="K25" s="56" t="s">
        <v>13</v>
      </c>
      <c r="L25" s="40">
        <f>SUM(H25:K25)</f>
        <v>181857.568</v>
      </c>
      <c r="M25" s="10"/>
      <c r="O25" s="11">
        <f t="shared" si="2"/>
        <v>174294</v>
      </c>
    </row>
    <row r="26" spans="1:19" x14ac:dyDescent="0.25">
      <c r="B26" s="31"/>
      <c r="C26" s="54">
        <v>1996</v>
      </c>
      <c r="D26" s="55">
        <v>195161.71299999999</v>
      </c>
      <c r="E26" s="56" t="s">
        <v>13</v>
      </c>
      <c r="F26" s="40">
        <v>22381.287</v>
      </c>
      <c r="G26" s="57">
        <f t="shared" si="1"/>
        <v>217543</v>
      </c>
      <c r="H26" s="40">
        <v>159723</v>
      </c>
      <c r="I26" s="40">
        <v>14826.558999999999</v>
      </c>
      <c r="J26" s="40">
        <v>34090.692000000003</v>
      </c>
      <c r="K26" s="56" t="s">
        <v>13</v>
      </c>
      <c r="L26" s="40">
        <f>SUM(H26:K26)</f>
        <v>208640.25100000002</v>
      </c>
      <c r="M26" s="10"/>
      <c r="O26" s="11">
        <f t="shared" si="2"/>
        <v>195161.71299999999</v>
      </c>
    </row>
    <row r="27" spans="1:19" x14ac:dyDescent="0.25">
      <c r="B27" s="31"/>
      <c r="C27" s="54"/>
      <c r="D27" s="55"/>
      <c r="E27" s="39"/>
      <c r="F27" s="40"/>
      <c r="G27" s="57"/>
      <c r="H27" s="40"/>
      <c r="I27" s="40"/>
      <c r="J27" s="40"/>
      <c r="K27" s="59"/>
      <c r="L27" s="40" t="s">
        <v>14</v>
      </c>
      <c r="M27" s="10"/>
      <c r="O27" s="11">
        <f t="shared" si="2"/>
        <v>0</v>
      </c>
    </row>
    <row r="28" spans="1:19" x14ac:dyDescent="0.25">
      <c r="B28" s="36"/>
      <c r="C28" s="54">
        <v>1997</v>
      </c>
      <c r="D28" s="55">
        <v>217734.07699999999</v>
      </c>
      <c r="E28" s="40">
        <v>1246.8330000000001</v>
      </c>
      <c r="F28" s="60">
        <v>25465.726999999999</v>
      </c>
      <c r="G28" s="57">
        <f t="shared" si="1"/>
        <v>244446.63699999999</v>
      </c>
      <c r="H28" s="40">
        <v>180403.44099999999</v>
      </c>
      <c r="I28" s="40">
        <v>18473.626</v>
      </c>
      <c r="J28" s="40">
        <v>46518.644</v>
      </c>
      <c r="K28" s="56" t="s">
        <v>13</v>
      </c>
      <c r="L28" s="40">
        <f>SUM(H28:K28)</f>
        <v>245395.71099999998</v>
      </c>
      <c r="M28" s="10"/>
      <c r="O28" s="11">
        <f t="shared" si="2"/>
        <v>218980.91</v>
      </c>
      <c r="P28" t="str">
        <f>H12</f>
        <v>Recurrent Expenditure</v>
      </c>
    </row>
    <row r="29" spans="1:19" x14ac:dyDescent="0.25">
      <c r="B29" s="36"/>
      <c r="C29" s="54">
        <v>1998</v>
      </c>
      <c r="D29" s="55">
        <f>248297.633+12.045+565.298</f>
        <v>248874.97600000002</v>
      </c>
      <c r="E29" s="40">
        <v>4734.509</v>
      </c>
      <c r="F29" s="40">
        <v>21525.733</v>
      </c>
      <c r="G29" s="57">
        <f t="shared" si="1"/>
        <v>275135.21799999999</v>
      </c>
      <c r="H29" s="40">
        <v>198685.75700000001</v>
      </c>
      <c r="I29" s="40">
        <v>29749.761999999999</v>
      </c>
      <c r="J29" s="40">
        <v>31288.678</v>
      </c>
      <c r="K29" s="56" t="s">
        <v>13</v>
      </c>
      <c r="L29" s="40">
        <f>SUM(H29:K29)</f>
        <v>259724.19699999999</v>
      </c>
      <c r="M29" s="10"/>
      <c r="O29" s="11">
        <f t="shared" si="2"/>
        <v>253609.48500000002</v>
      </c>
    </row>
    <row r="30" spans="1:19" s="12" customFormat="1" x14ac:dyDescent="0.25">
      <c r="B30" s="36"/>
      <c r="C30" s="54">
        <v>1999</v>
      </c>
      <c r="D30" s="61">
        <f>279552.115+606.074+41.374</f>
        <v>280199.56300000002</v>
      </c>
      <c r="E30" s="62">
        <v>6586.3379999999997</v>
      </c>
      <c r="F30" s="40">
        <v>18242.404999999999</v>
      </c>
      <c r="G30" s="57">
        <f>SUM(D30:F30)</f>
        <v>305028.30599999998</v>
      </c>
      <c r="H30" s="40">
        <v>234298.576</v>
      </c>
      <c r="I30" s="40">
        <v>32346.422999999999</v>
      </c>
      <c r="J30" s="40">
        <v>37613.523999999998</v>
      </c>
      <c r="K30" s="56" t="s">
        <v>13</v>
      </c>
      <c r="L30" s="40">
        <f>SUM(H30:K30)</f>
        <v>304258.52299999999</v>
      </c>
      <c r="M30" s="10"/>
      <c r="O30" s="11">
        <f t="shared" si="2"/>
        <v>286785.90100000001</v>
      </c>
    </row>
    <row r="31" spans="1:19" s="5" customFormat="1" x14ac:dyDescent="0.25">
      <c r="A31" s="12"/>
      <c r="B31" s="36"/>
      <c r="C31" s="63">
        <v>2000</v>
      </c>
      <c r="D31" s="61">
        <f>273188.505+863.738</f>
        <v>274052.24300000002</v>
      </c>
      <c r="E31" s="40">
        <f>3320.37+2617.86+1596.038</f>
        <v>7534.268</v>
      </c>
      <c r="F31" s="40">
        <v>23777.955000000002</v>
      </c>
      <c r="G31" s="57">
        <f t="shared" ref="G31:G40" si="3">SUM(D31:F31)</f>
        <v>305364.46600000001</v>
      </c>
      <c r="H31" s="62">
        <f>247258.236+75.318</f>
        <v>247333.554</v>
      </c>
      <c r="I31" s="40">
        <v>36885.932000000001</v>
      </c>
      <c r="J31" s="40">
        <v>43231.457000000002</v>
      </c>
      <c r="K31" s="56" t="s">
        <v>13</v>
      </c>
      <c r="L31" s="40">
        <f>SUM(H31:K31)</f>
        <v>327450.94300000003</v>
      </c>
      <c r="M31" s="10"/>
      <c r="O31" s="11">
        <f t="shared" si="2"/>
        <v>281586.511</v>
      </c>
    </row>
    <row r="32" spans="1:19" s="12" customFormat="1" x14ac:dyDescent="0.25">
      <c r="B32" s="36"/>
      <c r="C32" s="63">
        <v>2001</v>
      </c>
      <c r="D32" s="61">
        <v>283720</v>
      </c>
      <c r="E32" s="40">
        <v>4884</v>
      </c>
      <c r="F32" s="40">
        <f>30158.738+19448.662+96.79</f>
        <v>49704.19</v>
      </c>
      <c r="G32" s="57">
        <f t="shared" si="3"/>
        <v>338308.19</v>
      </c>
      <c r="H32" s="62">
        <v>259384</v>
      </c>
      <c r="I32" s="40">
        <v>46968.25</v>
      </c>
      <c r="J32" s="40">
        <v>26097.776999999998</v>
      </c>
      <c r="K32" s="56" t="s">
        <v>13</v>
      </c>
      <c r="L32" s="40">
        <f>SUM(H32:K32)</f>
        <v>332450.027</v>
      </c>
      <c r="M32" s="10"/>
      <c r="O32" s="11">
        <f t="shared" si="2"/>
        <v>288604</v>
      </c>
    </row>
    <row r="33" spans="2:18" s="12" customFormat="1" x14ac:dyDescent="0.25">
      <c r="B33" s="36"/>
      <c r="C33" s="63"/>
      <c r="D33" s="61"/>
      <c r="E33" s="40"/>
      <c r="F33" s="40"/>
      <c r="G33" s="57"/>
      <c r="H33" s="62"/>
      <c r="I33" s="40"/>
      <c r="J33" s="40"/>
      <c r="K33" s="59"/>
      <c r="L33" s="40" t="s">
        <v>14</v>
      </c>
      <c r="M33" s="10"/>
      <c r="O33" s="11">
        <f t="shared" si="2"/>
        <v>0</v>
      </c>
    </row>
    <row r="34" spans="2:18" s="12" customFormat="1" x14ac:dyDescent="0.25">
      <c r="B34" s="36"/>
      <c r="C34" s="63">
        <v>2002</v>
      </c>
      <c r="D34" s="55">
        <v>307875</v>
      </c>
      <c r="E34" s="40">
        <v>8924</v>
      </c>
      <c r="F34" s="40">
        <v>10866</v>
      </c>
      <c r="G34" s="57">
        <f t="shared" si="3"/>
        <v>327665</v>
      </c>
      <c r="H34" s="40">
        <v>252246</v>
      </c>
      <c r="I34" s="40">
        <v>49923</v>
      </c>
      <c r="J34" s="40">
        <v>17607</v>
      </c>
      <c r="K34" s="56" t="s">
        <v>13</v>
      </c>
      <c r="L34" s="40">
        <f>SUM(H34:K34)</f>
        <v>319776</v>
      </c>
      <c r="M34" s="10"/>
      <c r="O34" s="11">
        <f t="shared" si="2"/>
        <v>316799</v>
      </c>
    </row>
    <row r="35" spans="2:18" s="12" customFormat="1" x14ac:dyDescent="0.25">
      <c r="B35" s="36"/>
      <c r="C35" s="64" t="s">
        <v>15</v>
      </c>
      <c r="D35" s="61">
        <v>185906</v>
      </c>
      <c r="E35" s="40">
        <v>3510</v>
      </c>
      <c r="F35" s="40">
        <v>136817</v>
      </c>
      <c r="G35" s="57">
        <f t="shared" si="3"/>
        <v>326233</v>
      </c>
      <c r="H35" s="62">
        <v>147347</v>
      </c>
      <c r="I35" s="40">
        <v>129094</v>
      </c>
      <c r="J35" s="40">
        <v>10578</v>
      </c>
      <c r="K35" s="56" t="s">
        <v>13</v>
      </c>
      <c r="L35" s="40">
        <f>SUM(H35:K35)</f>
        <v>287019</v>
      </c>
      <c r="M35" s="10"/>
      <c r="O35" s="11">
        <f t="shared" si="2"/>
        <v>189416</v>
      </c>
    </row>
    <row r="36" spans="2:18" x14ac:dyDescent="0.25">
      <c r="B36" s="31"/>
      <c r="C36" s="64" t="s">
        <v>16</v>
      </c>
      <c r="D36" s="61">
        <v>353177</v>
      </c>
      <c r="E36" s="40">
        <v>7643</v>
      </c>
      <c r="F36" s="40">
        <v>23274</v>
      </c>
      <c r="G36" s="57">
        <f t="shared" si="3"/>
        <v>384094</v>
      </c>
      <c r="H36" s="62">
        <v>277051</v>
      </c>
      <c r="I36" s="40">
        <v>50164</v>
      </c>
      <c r="J36" s="40">
        <v>32155</v>
      </c>
      <c r="K36" s="56" t="s">
        <v>13</v>
      </c>
      <c r="L36" s="40">
        <f>SUM(H36:K36)</f>
        <v>359370</v>
      </c>
      <c r="M36" s="10"/>
      <c r="O36" s="11">
        <f t="shared" si="2"/>
        <v>360820</v>
      </c>
      <c r="P36" s="11"/>
      <c r="Q36" s="11">
        <f>+L38-'[4].03'!H30</f>
        <v>486474.44963000005</v>
      </c>
      <c r="R36">
        <v>433.1</v>
      </c>
    </row>
    <row r="37" spans="2:18" x14ac:dyDescent="0.25">
      <c r="B37" s="31"/>
      <c r="C37" s="64" t="s">
        <v>17</v>
      </c>
      <c r="D37" s="65">
        <v>428600</v>
      </c>
      <c r="E37" s="59">
        <v>8943.7582599999896</v>
      </c>
      <c r="F37" s="59">
        <v>39000</v>
      </c>
      <c r="G37" s="57">
        <f t="shared" si="3"/>
        <v>476543.75825999997</v>
      </c>
      <c r="H37" s="59">
        <v>381830</v>
      </c>
      <c r="I37" s="59">
        <v>38828.543580000005</v>
      </c>
      <c r="J37" s="59">
        <v>48504.5</v>
      </c>
      <c r="K37" s="59">
        <v>39420</v>
      </c>
      <c r="L37" s="40">
        <f>SUM(H37:K37)</f>
        <v>508583.04358</v>
      </c>
      <c r="M37" s="10"/>
      <c r="N37" s="11"/>
      <c r="O37" s="11">
        <f t="shared" si="2"/>
        <v>437543.75825999997</v>
      </c>
      <c r="P37" s="11"/>
    </row>
    <row r="38" spans="2:18" x14ac:dyDescent="0.25">
      <c r="B38" s="31"/>
      <c r="C38" s="64" t="s">
        <v>18</v>
      </c>
      <c r="D38" s="65">
        <v>500400</v>
      </c>
      <c r="E38" s="59">
        <v>2246.0165600000023</v>
      </c>
      <c r="F38" s="59">
        <v>10000</v>
      </c>
      <c r="G38" s="57">
        <f t="shared" si="3"/>
        <v>512646.01656000002</v>
      </c>
      <c r="H38" s="59">
        <v>393500</v>
      </c>
      <c r="I38" s="59">
        <v>46607.549630000009</v>
      </c>
      <c r="J38" s="59">
        <v>39600</v>
      </c>
      <c r="K38" s="59">
        <v>7200</v>
      </c>
      <c r="L38" s="40">
        <f>SUM(H38:K38)</f>
        <v>486907.54963000002</v>
      </c>
      <c r="M38" s="10"/>
      <c r="N38" s="11"/>
      <c r="O38" s="11">
        <f>SUM(D38:E38)</f>
        <v>502646.01656000002</v>
      </c>
      <c r="P38" s="11">
        <f>+L38-I38</f>
        <v>440300</v>
      </c>
      <c r="Q38">
        <f>+Q36/1000</f>
        <v>486.47444963000004</v>
      </c>
    </row>
    <row r="39" spans="2:18" x14ac:dyDescent="0.25">
      <c r="B39" s="31"/>
      <c r="C39" s="64"/>
      <c r="D39" s="65"/>
      <c r="E39" s="59"/>
      <c r="F39" s="59"/>
      <c r="G39" s="57"/>
      <c r="H39" s="59"/>
      <c r="I39" s="59"/>
      <c r="J39" s="59"/>
      <c r="K39" s="59"/>
      <c r="L39" s="40"/>
      <c r="M39" s="10"/>
      <c r="N39" s="11"/>
      <c r="O39" s="11">
        <f t="shared" si="2"/>
        <v>0</v>
      </c>
      <c r="P39" s="11"/>
      <c r="R39">
        <f>+Q38-R36</f>
        <v>53.374449630000015</v>
      </c>
    </row>
    <row r="40" spans="2:18" x14ac:dyDescent="0.25">
      <c r="B40" s="31"/>
      <c r="C40" s="64" t="s">
        <v>19</v>
      </c>
      <c r="D40" s="65">
        <v>513004</v>
      </c>
      <c r="E40" s="59">
        <v>2591</v>
      </c>
      <c r="F40" s="59">
        <v>52300</v>
      </c>
      <c r="G40" s="57">
        <f t="shared" si="3"/>
        <v>567895</v>
      </c>
      <c r="H40" s="59">
        <v>404821</v>
      </c>
      <c r="I40" s="59">
        <v>38024</v>
      </c>
      <c r="J40" s="59">
        <v>105903</v>
      </c>
      <c r="K40" s="59">
        <v>3241</v>
      </c>
      <c r="L40" s="40">
        <f>SUM(H40:K40)</f>
        <v>551989</v>
      </c>
      <c r="M40" s="10"/>
      <c r="N40" s="11"/>
      <c r="O40" s="11">
        <f>SUM(D40:E40)</f>
        <v>515595</v>
      </c>
      <c r="P40" s="11">
        <f>G40-L40+K40</f>
        <v>19147</v>
      </c>
    </row>
    <row r="41" spans="2:18" x14ac:dyDescent="0.25">
      <c r="B41" s="31"/>
      <c r="C41" s="64" t="s">
        <v>20</v>
      </c>
      <c r="D41" s="65">
        <v>522229</v>
      </c>
      <c r="E41" s="59">
        <v>1178</v>
      </c>
      <c r="F41" s="59">
        <v>166175</v>
      </c>
      <c r="G41" s="57">
        <f>SUM(D41:F41)</f>
        <v>689582</v>
      </c>
      <c r="H41" s="59">
        <v>451787</v>
      </c>
      <c r="I41" s="59">
        <v>49225</v>
      </c>
      <c r="J41" s="59">
        <v>150583</v>
      </c>
      <c r="K41" s="59">
        <v>1733</v>
      </c>
      <c r="L41" s="40">
        <f>SUM(H41:K41)</f>
        <v>653328</v>
      </c>
      <c r="M41" s="10"/>
      <c r="N41" s="11">
        <f>H41+I41+J41+K41</f>
        <v>653328</v>
      </c>
      <c r="O41" s="11">
        <f t="shared" si="2"/>
        <v>523407</v>
      </c>
      <c r="P41" s="11">
        <f>G41-L41+K41</f>
        <v>37987</v>
      </c>
    </row>
    <row r="42" spans="2:18" x14ac:dyDescent="0.25">
      <c r="B42" s="31"/>
      <c r="C42" s="63">
        <v>2009</v>
      </c>
      <c r="D42" s="65">
        <v>470641</v>
      </c>
      <c r="E42" s="40">
        <v>1130</v>
      </c>
      <c r="F42" s="40">
        <v>184289</v>
      </c>
      <c r="G42" s="57">
        <f>SUM(D42:F42)</f>
        <v>656060</v>
      </c>
      <c r="H42" s="40">
        <v>452663</v>
      </c>
      <c r="I42" s="40">
        <v>39756</v>
      </c>
      <c r="J42" s="40">
        <v>109597</v>
      </c>
      <c r="K42" s="40">
        <v>17952</v>
      </c>
      <c r="L42" s="40">
        <f>SUM(H42:K42)</f>
        <v>619968</v>
      </c>
      <c r="M42" s="10"/>
      <c r="N42" s="11">
        <f>H42+I42+J42+K42</f>
        <v>619968</v>
      </c>
      <c r="O42" s="11">
        <f t="shared" si="2"/>
        <v>471771</v>
      </c>
      <c r="P42" s="11">
        <f>G42-L42+K42</f>
        <v>54044</v>
      </c>
    </row>
    <row r="43" spans="2:18" x14ac:dyDescent="0.25">
      <c r="B43" s="31"/>
      <c r="C43" s="63">
        <v>2010</v>
      </c>
      <c r="D43" s="65">
        <v>515754</v>
      </c>
      <c r="E43" s="40">
        <v>7598</v>
      </c>
      <c r="F43" s="40">
        <v>106655</v>
      </c>
      <c r="G43" s="40">
        <f>SUM(D43:F43)</f>
        <v>630007</v>
      </c>
      <c r="H43" s="55">
        <v>454358</v>
      </c>
      <c r="I43" s="40">
        <v>39523</v>
      </c>
      <c r="J43" s="40">
        <v>82219</v>
      </c>
      <c r="K43" s="40">
        <v>2061</v>
      </c>
      <c r="L43" s="40">
        <f>SUM(H43:K43)</f>
        <v>578161</v>
      </c>
      <c r="M43" s="10"/>
      <c r="N43" s="11"/>
      <c r="O43" s="11">
        <f>SUM(D43:E43)</f>
        <v>523352</v>
      </c>
      <c r="P43" s="11">
        <f>G43-L43+K43</f>
        <v>53907</v>
      </c>
    </row>
    <row r="44" spans="2:18" x14ac:dyDescent="0.25">
      <c r="B44" s="31"/>
      <c r="C44" s="66">
        <v>2011</v>
      </c>
      <c r="D44" s="67">
        <v>549858</v>
      </c>
      <c r="E44" s="59" t="s">
        <v>13</v>
      </c>
      <c r="F44" s="67">
        <v>154200</v>
      </c>
      <c r="G44" s="67">
        <v>704058</v>
      </c>
      <c r="H44" s="68">
        <v>480643</v>
      </c>
      <c r="I44" s="67">
        <v>42280</v>
      </c>
      <c r="J44" s="67">
        <v>99189</v>
      </c>
      <c r="K44" s="56" t="s">
        <v>13</v>
      </c>
      <c r="L44" s="67">
        <v>622112</v>
      </c>
      <c r="M44" s="26"/>
      <c r="N44" s="11"/>
      <c r="O44" s="11"/>
      <c r="P44" s="11"/>
    </row>
    <row r="45" spans="2:18" x14ac:dyDescent="0.25">
      <c r="B45" s="31"/>
      <c r="C45" s="63">
        <v>2012</v>
      </c>
      <c r="D45" s="68">
        <v>564537.80172999995</v>
      </c>
      <c r="E45" s="59" t="s">
        <v>13</v>
      </c>
      <c r="F45" s="59" t="s">
        <v>13</v>
      </c>
      <c r="G45" s="67">
        <v>564537.80172999995</v>
      </c>
      <c r="H45" s="68">
        <v>501904.33491999999</v>
      </c>
      <c r="I45" s="67">
        <v>45262.905749999998</v>
      </c>
      <c r="J45" s="67">
        <v>68463.878310000015</v>
      </c>
      <c r="K45" s="56" t="s">
        <v>13</v>
      </c>
      <c r="L45" s="67">
        <v>615631.11898000003</v>
      </c>
      <c r="M45" s="26"/>
      <c r="N45" s="11"/>
      <c r="O45" s="11"/>
      <c r="P45" s="11"/>
    </row>
    <row r="46" spans="2:18" x14ac:dyDescent="0.25">
      <c r="B46" s="31"/>
      <c r="C46" s="69"/>
      <c r="D46" s="70"/>
      <c r="E46" s="71"/>
      <c r="F46" s="71"/>
      <c r="G46" s="71"/>
      <c r="H46" s="70"/>
      <c r="I46" s="71"/>
      <c r="J46" s="71"/>
      <c r="K46" s="75"/>
      <c r="L46" s="71"/>
      <c r="M46" s="26"/>
      <c r="N46" s="11"/>
      <c r="O46" s="11"/>
      <c r="P46" s="11"/>
    </row>
    <row r="47" spans="2:18" x14ac:dyDescent="0.25">
      <c r="B47" s="31"/>
      <c r="C47" s="33" t="s">
        <v>21</v>
      </c>
      <c r="D47" s="34"/>
      <c r="E47" s="31"/>
      <c r="F47" s="31"/>
      <c r="G47" s="36"/>
      <c r="H47" s="31"/>
      <c r="I47" s="31"/>
      <c r="J47" s="31"/>
      <c r="K47" s="31"/>
      <c r="L47" s="36"/>
      <c r="M47" s="12"/>
      <c r="O47" s="10"/>
      <c r="P47" s="10"/>
    </row>
    <row r="48" spans="2:18" x14ac:dyDescent="0.25">
      <c r="B48" s="37"/>
      <c r="C48" s="34" t="s">
        <v>22</v>
      </c>
      <c r="D48" s="34"/>
      <c r="E48" s="31"/>
      <c r="F48" s="31"/>
      <c r="G48" s="31"/>
      <c r="H48" s="31"/>
      <c r="I48" s="41"/>
      <c r="J48" s="31"/>
      <c r="K48" s="31"/>
      <c r="L48" s="41" t="s">
        <v>14</v>
      </c>
      <c r="M48" s="11"/>
      <c r="O48" s="10"/>
      <c r="P48" s="10">
        <f>+H43+I43</f>
        <v>493881</v>
      </c>
    </row>
    <row r="49" spans="2:23" x14ac:dyDescent="0.25">
      <c r="B49" s="37"/>
      <c r="C49" s="34" t="s">
        <v>23</v>
      </c>
      <c r="D49" s="34"/>
      <c r="E49" s="31"/>
      <c r="F49" s="31"/>
      <c r="G49" s="31"/>
      <c r="H49" s="31"/>
      <c r="I49" s="31"/>
      <c r="J49" s="31"/>
      <c r="K49" s="31"/>
      <c r="L49" s="31"/>
      <c r="O49" s="10"/>
      <c r="P49" s="10"/>
    </row>
    <row r="50" spans="2:23" x14ac:dyDescent="0.25">
      <c r="B50" s="37"/>
      <c r="C50" s="34" t="s">
        <v>24</v>
      </c>
      <c r="D50" s="34"/>
      <c r="E50" s="31"/>
      <c r="F50" s="31"/>
      <c r="G50" s="31"/>
      <c r="H50" s="31"/>
      <c r="I50" s="31"/>
      <c r="J50" s="31"/>
      <c r="K50" s="59"/>
      <c r="L50" s="59"/>
      <c r="M50" s="16"/>
      <c r="N50" s="17"/>
      <c r="O50" s="10"/>
      <c r="P50" s="10"/>
      <c r="Q50" s="10"/>
      <c r="R50" s="10"/>
      <c r="S50" s="10"/>
    </row>
    <row r="51" spans="2:23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59"/>
      <c r="L51" s="59"/>
      <c r="M51" s="16"/>
      <c r="O51" s="10"/>
      <c r="P51" s="10"/>
    </row>
    <row r="52" spans="2:23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2:23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2:23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2:23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2:23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2:23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2:23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T58" s="12"/>
      <c r="U58" s="12"/>
      <c r="V58" s="12"/>
      <c r="W58" s="12"/>
    </row>
    <row r="59" spans="2:23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2:23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2:23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2:23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2:23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2:23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2:17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2:17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2:17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2:17" ht="17.25" customHeigh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2:17" x14ac:dyDescent="0.25">
      <c r="B69" s="42"/>
      <c r="C69" s="72" t="s">
        <v>25</v>
      </c>
      <c r="D69" s="73"/>
      <c r="E69" s="74"/>
      <c r="F69" s="74"/>
      <c r="G69" s="74"/>
      <c r="H69" s="42"/>
      <c r="I69" s="42"/>
      <c r="J69" s="42"/>
      <c r="K69" s="42"/>
      <c r="L69" s="42"/>
      <c r="M69" s="18"/>
    </row>
    <row r="70" spans="2:17" ht="38.25" x14ac:dyDescent="0.25">
      <c r="B70" s="18"/>
      <c r="C70" s="18"/>
      <c r="E70" s="18"/>
      <c r="F70" s="18"/>
      <c r="G70" s="18"/>
      <c r="H70" s="18"/>
      <c r="I70" s="18"/>
      <c r="J70" s="18"/>
      <c r="K70" s="19"/>
      <c r="L70" s="18"/>
      <c r="M70" s="18"/>
      <c r="O70" s="7" t="s">
        <v>3</v>
      </c>
      <c r="P70" s="6" t="s">
        <v>7</v>
      </c>
      <c r="Q70" s="6" t="s">
        <v>12</v>
      </c>
    </row>
    <row r="71" spans="2:17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9"/>
      <c r="L71" s="18"/>
      <c r="M71" s="18"/>
      <c r="O71" s="9">
        <v>1999</v>
      </c>
      <c r="P71" s="13"/>
      <c r="Q71" s="10"/>
    </row>
    <row r="72" spans="2:17" x14ac:dyDescent="0.25">
      <c r="C72" s="20"/>
      <c r="D72" s="20"/>
      <c r="E72" s="20"/>
      <c r="F72" s="20"/>
      <c r="G72" s="20"/>
      <c r="H72" s="20"/>
      <c r="I72" s="20"/>
      <c r="J72" s="20"/>
      <c r="K72" s="21"/>
      <c r="L72" s="20"/>
      <c r="M72" s="20"/>
      <c r="O72" s="14">
        <v>2000</v>
      </c>
      <c r="P72" s="13"/>
      <c r="Q72" s="10"/>
    </row>
    <row r="73" spans="2:17" x14ac:dyDescent="0.25">
      <c r="B73" s="18"/>
      <c r="C73" s="18"/>
      <c r="D73" s="18"/>
      <c r="E73" s="18"/>
      <c r="F73" s="18"/>
      <c r="G73" s="18"/>
      <c r="H73" s="18"/>
      <c r="I73" s="18"/>
      <c r="J73" s="18"/>
      <c r="K73" s="19"/>
      <c r="L73" s="18"/>
      <c r="M73" s="18"/>
      <c r="O73" s="14">
        <v>2001</v>
      </c>
      <c r="P73" s="13"/>
      <c r="Q73" s="10"/>
    </row>
    <row r="74" spans="2:17" s="1" customFormat="1" x14ac:dyDescent="0.25">
      <c r="O74" s="14">
        <v>2002</v>
      </c>
      <c r="P74" s="10"/>
      <c r="Q74" s="10"/>
    </row>
    <row r="75" spans="2:17" x14ac:dyDescent="0.25">
      <c r="B75" s="83">
        <v>86</v>
      </c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28"/>
      <c r="O75" s="14">
        <v>2003</v>
      </c>
      <c r="P75" s="13"/>
      <c r="Q75" s="10"/>
    </row>
    <row r="76" spans="2:17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O76" s="23">
        <v>2004</v>
      </c>
      <c r="P76" s="15"/>
      <c r="Q76" s="10"/>
    </row>
    <row r="77" spans="2:17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O77" s="23">
        <v>2005</v>
      </c>
      <c r="P77" s="16">
        <f>D37+E37+F37</f>
        <v>476543.75825999997</v>
      </c>
      <c r="Q77" s="16">
        <f>L37</f>
        <v>508583.04358</v>
      </c>
    </row>
    <row r="78" spans="2:17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O78" s="23">
        <v>2006</v>
      </c>
      <c r="P78" s="16">
        <f>D38+E38+F38</f>
        <v>512646.01656000002</v>
      </c>
      <c r="Q78" s="16">
        <f>L38</f>
        <v>486907.54963000002</v>
      </c>
    </row>
    <row r="79" spans="2:17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O79" s="23">
        <v>2007</v>
      </c>
      <c r="P79" s="16">
        <f>D40+E40+F40</f>
        <v>567895</v>
      </c>
      <c r="Q79" s="16">
        <f>L40</f>
        <v>551989</v>
      </c>
    </row>
    <row r="80" spans="2:17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O80" s="23">
        <v>2008</v>
      </c>
      <c r="P80" s="16">
        <f>D41+E41+F41</f>
        <v>689582</v>
      </c>
      <c r="Q80" s="16">
        <f>L41</f>
        <v>653328</v>
      </c>
    </row>
    <row r="81" spans="2:17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O81" s="23">
        <v>2009</v>
      </c>
      <c r="P81" s="16">
        <f>D42+E42+F42</f>
        <v>656060</v>
      </c>
      <c r="Q81" s="16">
        <f>+L42</f>
        <v>619968</v>
      </c>
    </row>
    <row r="82" spans="2:17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O82" s="23">
        <v>2010</v>
      </c>
      <c r="P82" s="16">
        <f>D43+E43+F43</f>
        <v>630007</v>
      </c>
      <c r="Q82" s="16">
        <f>+L43</f>
        <v>578161</v>
      </c>
    </row>
    <row r="83" spans="2:17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O83" s="23">
        <v>2011</v>
      </c>
      <c r="P83" s="16" t="e">
        <f>D44+E44+F44</f>
        <v>#VALUE!</v>
      </c>
      <c r="Q83" s="16">
        <f>+L44</f>
        <v>622112</v>
      </c>
    </row>
    <row r="84" spans="2:17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2:17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2:17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2:17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2:17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2:17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2:17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2:17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2:17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2:17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spans="2:17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</row>
    <row r="95" spans="2:17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</row>
    <row r="96" spans="2:17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</row>
    <row r="97" spans="2:13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spans="2:13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</row>
    <row r="99" spans="2:13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</row>
    <row r="100" spans="2:13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</row>
    <row r="101" spans="2:13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2:13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2:13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2:13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spans="2:13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  <row r="106" spans="2:13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</row>
    <row r="107" spans="2:13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</row>
    <row r="108" spans="2:13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</row>
    <row r="109" spans="2:13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</row>
    <row r="110" spans="2:13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</row>
    <row r="111" spans="2:13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</row>
    <row r="112" spans="2:13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</row>
    <row r="113" spans="2:13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</row>
    <row r="114" spans="2:13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</row>
    <row r="115" spans="2:13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</row>
    <row r="116" spans="2:13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</row>
    <row r="117" spans="2:13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</row>
    <row r="118" spans="2:13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</row>
    <row r="119" spans="2:13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</row>
    <row r="120" spans="2:13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</row>
    <row r="121" spans="2:13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</row>
    <row r="122" spans="2:13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</row>
    <row r="123" spans="2:13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</row>
    <row r="124" spans="2:13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</row>
    <row r="125" spans="2:13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</row>
    <row r="126" spans="2:13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</row>
    <row r="127" spans="2:13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</row>
    <row r="128" spans="2:13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</row>
    <row r="129" spans="2:13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</row>
    <row r="130" spans="2:13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</row>
    <row r="131" spans="2:13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</row>
    <row r="132" spans="2:13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2:13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</row>
    <row r="134" spans="2:13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</row>
    <row r="135" spans="2:13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</row>
    <row r="136" spans="2:13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</row>
    <row r="137" spans="2:13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</row>
    <row r="138" spans="2:13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</row>
    <row r="139" spans="2:13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</row>
    <row r="140" spans="2:13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pans="2:13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</row>
    <row r="142" spans="2:13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</row>
    <row r="143" spans="2:13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</row>
    <row r="144" spans="2:13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</row>
    <row r="145" spans="2:13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</row>
    <row r="146" spans="2:13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</row>
    <row r="147" spans="2:13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</row>
    <row r="148" spans="2:13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</row>
    <row r="149" spans="2:13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</row>
    <row r="150" spans="2:13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</row>
    <row r="151" spans="2:13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</row>
    <row r="152" spans="2:13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</row>
    <row r="153" spans="2:13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</row>
    <row r="154" spans="2:13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</row>
    <row r="155" spans="2:13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6" spans="2:13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</row>
    <row r="157" spans="2:13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</row>
    <row r="158" spans="2:13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</row>
    <row r="159" spans="2:13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</row>
    <row r="160" spans="2:13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2:13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</row>
    <row r="162" spans="2:13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</row>
    <row r="163" spans="2:13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</row>
    <row r="164" spans="2:13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</row>
    <row r="165" spans="2:13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</row>
    <row r="166" spans="2:13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</row>
    <row r="167" spans="2:13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</row>
    <row r="168" spans="2:13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</row>
    <row r="169" spans="2:13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</row>
    <row r="170" spans="2:13" x14ac:dyDescent="0.25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</row>
    <row r="171" spans="2:13" x14ac:dyDescent="0.25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</row>
    <row r="172" spans="2:13" x14ac:dyDescent="0.25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</row>
    <row r="173" spans="2:13" x14ac:dyDescent="0.25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</row>
    <row r="174" spans="2:13" x14ac:dyDescent="0.2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</row>
    <row r="175" spans="2:13" x14ac:dyDescent="0.2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</row>
    <row r="176" spans="2:13" x14ac:dyDescent="0.2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2:13" x14ac:dyDescent="0.2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</row>
    <row r="178" spans="2:13" x14ac:dyDescent="0.2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</row>
    <row r="179" spans="2:13" x14ac:dyDescent="0.2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</row>
    <row r="180" spans="2:13" x14ac:dyDescent="0.2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</row>
    <row r="181" spans="2:13" x14ac:dyDescent="0.2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</row>
    <row r="182" spans="2:13" x14ac:dyDescent="0.2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</row>
    <row r="183" spans="2:13" x14ac:dyDescent="0.2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</row>
    <row r="184" spans="2:13" x14ac:dyDescent="0.2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</row>
    <row r="185" spans="2:13" x14ac:dyDescent="0.2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</row>
    <row r="186" spans="2:13" x14ac:dyDescent="0.2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</row>
    <row r="187" spans="2:13" x14ac:dyDescent="0.2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</row>
    <row r="188" spans="2:13" x14ac:dyDescent="0.2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</row>
    <row r="189" spans="2:13" x14ac:dyDescent="0.2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</row>
    <row r="190" spans="2:13" x14ac:dyDescent="0.2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</row>
    <row r="191" spans="2:13" x14ac:dyDescent="0.2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</row>
    <row r="192" spans="2:13" x14ac:dyDescent="0.2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</row>
    <row r="193" spans="2:13" x14ac:dyDescent="0.2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</row>
    <row r="194" spans="2:13" x14ac:dyDescent="0.2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</row>
    <row r="195" spans="2:13" x14ac:dyDescent="0.2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</row>
    <row r="196" spans="2:13" x14ac:dyDescent="0.2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</row>
    <row r="197" spans="2:13" x14ac:dyDescent="0.2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</row>
    <row r="198" spans="2:13" x14ac:dyDescent="0.2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</row>
    <row r="199" spans="2:13" x14ac:dyDescent="0.25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</row>
    <row r="200" spans="2:13" x14ac:dyDescent="0.25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</row>
    <row r="201" spans="2:13" x14ac:dyDescent="0.25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</row>
    <row r="202" spans="2:13" x14ac:dyDescent="0.25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pans="2:13" x14ac:dyDescent="0.25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spans="2:13" x14ac:dyDescent="0.25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spans="2:13" x14ac:dyDescent="0.25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spans="2:13" x14ac:dyDescent="0.25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spans="2:13" x14ac:dyDescent="0.25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spans="2:13" x14ac:dyDescent="0.25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spans="2:13" x14ac:dyDescent="0.25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spans="2:13" x14ac:dyDescent="0.25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  <row r="211" spans="2:13" x14ac:dyDescent="0.25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</row>
    <row r="212" spans="2:13" x14ac:dyDescent="0.25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3" spans="2:13" x14ac:dyDescent="0.25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</row>
    <row r="214" spans="2:13" x14ac:dyDescent="0.25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spans="2:13" x14ac:dyDescent="0.25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</row>
    <row r="216" spans="2:13" x14ac:dyDescent="0.25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spans="2:13" x14ac:dyDescent="0.25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spans="2:13" x14ac:dyDescent="0.25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spans="2:13" x14ac:dyDescent="0.25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spans="2:13" x14ac:dyDescent="0.25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spans="2:13" x14ac:dyDescent="0.25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</row>
    <row r="222" spans="2:13" x14ac:dyDescent="0.25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</row>
    <row r="223" spans="2:13" x14ac:dyDescent="0.25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</row>
    <row r="224" spans="2:13" x14ac:dyDescent="0.25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</row>
    <row r="225" spans="2:13" x14ac:dyDescent="0.25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</row>
    <row r="226" spans="2:13" x14ac:dyDescent="0.25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</row>
    <row r="227" spans="2:13" x14ac:dyDescent="0.25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</row>
    <row r="228" spans="2:13" x14ac:dyDescent="0.25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</row>
    <row r="229" spans="2:13" x14ac:dyDescent="0.25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</row>
    <row r="230" spans="2:13" x14ac:dyDescent="0.25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</row>
    <row r="231" spans="2:13" x14ac:dyDescent="0.25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</row>
    <row r="232" spans="2:13" x14ac:dyDescent="0.25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2:13" x14ac:dyDescent="0.25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2:13" x14ac:dyDescent="0.25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2:13" x14ac:dyDescent="0.25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2:13" x14ac:dyDescent="0.25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2:13" x14ac:dyDescent="0.25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2:13" x14ac:dyDescent="0.25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2:13" x14ac:dyDescent="0.25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2:13" x14ac:dyDescent="0.25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2:13" x14ac:dyDescent="0.25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2:13" x14ac:dyDescent="0.25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2:13" x14ac:dyDescent="0.25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</row>
    <row r="244" spans="2:13" x14ac:dyDescent="0.25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</row>
    <row r="245" spans="2:13" x14ac:dyDescent="0.25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</row>
    <row r="246" spans="2:13" x14ac:dyDescent="0.25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2:13" x14ac:dyDescent="0.25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2:13" x14ac:dyDescent="0.25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</row>
    <row r="249" spans="2:13" x14ac:dyDescent="0.25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</row>
    <row r="250" spans="2:13" x14ac:dyDescent="0.25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</row>
    <row r="251" spans="2:13" x14ac:dyDescent="0.25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</row>
    <row r="252" spans="2:13" x14ac:dyDescent="0.25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</row>
    <row r="253" spans="2:13" x14ac:dyDescent="0.25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</row>
    <row r="254" spans="2:13" x14ac:dyDescent="0.25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</row>
    <row r="255" spans="2:13" x14ac:dyDescent="0.25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</row>
    <row r="256" spans="2:13" x14ac:dyDescent="0.25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</row>
    <row r="257" spans="2:13" x14ac:dyDescent="0.25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</row>
    <row r="258" spans="2:13" x14ac:dyDescent="0.25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</row>
    <row r="259" spans="2:13" x14ac:dyDescent="0.25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</row>
    <row r="260" spans="2:13" x14ac:dyDescent="0.25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2:13" x14ac:dyDescent="0.25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2:13" x14ac:dyDescent="0.25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2:13" x14ac:dyDescent="0.25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2:13" x14ac:dyDescent="0.25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2:13" x14ac:dyDescent="0.25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2:13" x14ac:dyDescent="0.25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  <row r="267" spans="2:13" x14ac:dyDescent="0.25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</row>
    <row r="268" spans="2:13" x14ac:dyDescent="0.25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</row>
    <row r="269" spans="2:13" x14ac:dyDescent="0.25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</row>
    <row r="270" spans="2:13" x14ac:dyDescent="0.25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</row>
    <row r="271" spans="2:13" x14ac:dyDescent="0.25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</row>
    <row r="272" spans="2:13" x14ac:dyDescent="0.25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</row>
    <row r="273" spans="2:13" x14ac:dyDescent="0.25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</row>
    <row r="274" spans="2:13" x14ac:dyDescent="0.25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</row>
    <row r="275" spans="2:13" x14ac:dyDescent="0.25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</row>
    <row r="276" spans="2:13" x14ac:dyDescent="0.25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</row>
    <row r="277" spans="2:13" x14ac:dyDescent="0.25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</row>
    <row r="278" spans="2:13" x14ac:dyDescent="0.25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</row>
    <row r="279" spans="2:13" x14ac:dyDescent="0.25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</row>
    <row r="280" spans="2:13" x14ac:dyDescent="0.25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</row>
    <row r="281" spans="2:13" x14ac:dyDescent="0.25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</row>
    <row r="282" spans="2:13" x14ac:dyDescent="0.25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</row>
    <row r="283" spans="2:13" x14ac:dyDescent="0.25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</row>
    <row r="284" spans="2:13" x14ac:dyDescent="0.25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</row>
    <row r="285" spans="2:13" x14ac:dyDescent="0.25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</row>
    <row r="286" spans="2:13" x14ac:dyDescent="0.25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</row>
    <row r="287" spans="2:13" x14ac:dyDescent="0.25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</row>
    <row r="288" spans="2:13" x14ac:dyDescent="0.25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</row>
    <row r="289" spans="2:13" x14ac:dyDescent="0.25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</row>
    <row r="290" spans="2:13" x14ac:dyDescent="0.25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</row>
    <row r="291" spans="2:13" x14ac:dyDescent="0.25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</row>
    <row r="292" spans="2:13" x14ac:dyDescent="0.25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2:13" x14ac:dyDescent="0.25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2:13" x14ac:dyDescent="0.25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</row>
    <row r="295" spans="2:13" x14ac:dyDescent="0.25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</row>
    <row r="296" spans="2:13" x14ac:dyDescent="0.25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</row>
    <row r="297" spans="2:13" x14ac:dyDescent="0.25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</row>
    <row r="298" spans="2:13" x14ac:dyDescent="0.25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</row>
    <row r="299" spans="2:13" x14ac:dyDescent="0.25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</row>
    <row r="300" spans="2:13" x14ac:dyDescent="0.25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</row>
    <row r="301" spans="2:13" x14ac:dyDescent="0.25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</row>
    <row r="302" spans="2:13" x14ac:dyDescent="0.25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</row>
    <row r="303" spans="2:13" x14ac:dyDescent="0.25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</row>
    <row r="304" spans="2:13" x14ac:dyDescent="0.25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</row>
    <row r="305" spans="2:13" x14ac:dyDescent="0.25"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</row>
    <row r="306" spans="2:13" x14ac:dyDescent="0.25"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</row>
    <row r="307" spans="2:13" x14ac:dyDescent="0.25"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</row>
    <row r="308" spans="2:13" x14ac:dyDescent="0.25"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</row>
    <row r="309" spans="2:13" x14ac:dyDescent="0.25"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</row>
    <row r="310" spans="2:13" x14ac:dyDescent="0.25"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</row>
    <row r="311" spans="2:13" x14ac:dyDescent="0.25"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</row>
    <row r="312" spans="2:13" x14ac:dyDescent="0.25"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</row>
    <row r="313" spans="2:13" x14ac:dyDescent="0.25"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</row>
    <row r="314" spans="2:13" x14ac:dyDescent="0.25"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</row>
    <row r="315" spans="2:13" x14ac:dyDescent="0.25"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</row>
    <row r="316" spans="2:13" x14ac:dyDescent="0.25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2:13" x14ac:dyDescent="0.25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2:13" x14ac:dyDescent="0.2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2:13" x14ac:dyDescent="0.2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2:13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2:13" x14ac:dyDescent="0.2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2:13" x14ac:dyDescent="0.2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2:13" x14ac:dyDescent="0.2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2:13" x14ac:dyDescent="0.2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2:13" x14ac:dyDescent="0.2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2:13" x14ac:dyDescent="0.2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2:13" x14ac:dyDescent="0.2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2:13" x14ac:dyDescent="0.2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2:13" x14ac:dyDescent="0.2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2:13" x14ac:dyDescent="0.2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2:13" x14ac:dyDescent="0.2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2:13" x14ac:dyDescent="0.2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2:13" x14ac:dyDescent="0.2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2:13" x14ac:dyDescent="0.2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2:13" x14ac:dyDescent="0.2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2:13" x14ac:dyDescent="0.2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2:13" x14ac:dyDescent="0.2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2:13" x14ac:dyDescent="0.2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2:13" x14ac:dyDescent="0.2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2:13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2:13" x14ac:dyDescent="0.2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2:13" x14ac:dyDescent="0.2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2:13" x14ac:dyDescent="0.2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  <row r="344" spans="2:13" x14ac:dyDescent="0.25"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</row>
    <row r="345" spans="2:13" x14ac:dyDescent="0.25"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</row>
    <row r="346" spans="2:13" x14ac:dyDescent="0.25"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</row>
    <row r="347" spans="2:13" x14ac:dyDescent="0.25"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</row>
    <row r="348" spans="2:13" x14ac:dyDescent="0.25"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</row>
    <row r="349" spans="2:13" x14ac:dyDescent="0.25"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</row>
    <row r="350" spans="2:13" x14ac:dyDescent="0.25"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</row>
    <row r="351" spans="2:13" x14ac:dyDescent="0.25"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</row>
    <row r="352" spans="2:13" x14ac:dyDescent="0.25"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</row>
    <row r="353" spans="2:13" x14ac:dyDescent="0.25"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</row>
    <row r="354" spans="2:13" x14ac:dyDescent="0.25"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</row>
    <row r="355" spans="2:13" x14ac:dyDescent="0.25"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</row>
    <row r="356" spans="2:13" x14ac:dyDescent="0.25"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</row>
    <row r="357" spans="2:13" x14ac:dyDescent="0.25"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</row>
    <row r="358" spans="2:13" x14ac:dyDescent="0.25"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</row>
    <row r="359" spans="2:13" x14ac:dyDescent="0.25"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</row>
    <row r="360" spans="2:13" x14ac:dyDescent="0.25"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</row>
    <row r="361" spans="2:13" x14ac:dyDescent="0.25"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</row>
    <row r="362" spans="2:13" x14ac:dyDescent="0.25"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</row>
    <row r="363" spans="2:13" x14ac:dyDescent="0.25"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</row>
    <row r="364" spans="2:13" x14ac:dyDescent="0.25"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</row>
    <row r="365" spans="2:13" x14ac:dyDescent="0.25"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</row>
    <row r="366" spans="2:13" x14ac:dyDescent="0.25"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</row>
    <row r="367" spans="2:13" x14ac:dyDescent="0.25"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</row>
    <row r="368" spans="2:13" x14ac:dyDescent="0.25"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</row>
    <row r="369" spans="2:13" x14ac:dyDescent="0.25"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</row>
    <row r="370" spans="2:13" x14ac:dyDescent="0.25"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</row>
    <row r="371" spans="2:13" x14ac:dyDescent="0.25"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</row>
    <row r="372" spans="2:13" x14ac:dyDescent="0.25"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</row>
    <row r="373" spans="2:13" x14ac:dyDescent="0.25"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</row>
    <row r="374" spans="2:13" x14ac:dyDescent="0.25"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2:13" x14ac:dyDescent="0.25"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2:13" x14ac:dyDescent="0.25"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2:13" x14ac:dyDescent="0.25"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</row>
    <row r="378" spans="2:13" x14ac:dyDescent="0.25"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</row>
    <row r="379" spans="2:13" x14ac:dyDescent="0.25"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</row>
    <row r="380" spans="2:13" x14ac:dyDescent="0.25"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</row>
    <row r="381" spans="2:13" x14ac:dyDescent="0.25"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</row>
    <row r="382" spans="2:13" x14ac:dyDescent="0.25"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</row>
    <row r="383" spans="2:13" x14ac:dyDescent="0.25"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</row>
    <row r="384" spans="2:13" x14ac:dyDescent="0.25"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</row>
    <row r="385" spans="2:13" x14ac:dyDescent="0.25"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</row>
    <row r="386" spans="2:13" x14ac:dyDescent="0.25"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</row>
    <row r="387" spans="2:13" x14ac:dyDescent="0.25"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</row>
    <row r="388" spans="2:13" x14ac:dyDescent="0.25"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</row>
    <row r="389" spans="2:13" x14ac:dyDescent="0.25"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</row>
    <row r="390" spans="2:13" x14ac:dyDescent="0.25"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</row>
    <row r="391" spans="2:13" x14ac:dyDescent="0.25"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</row>
    <row r="392" spans="2:13" x14ac:dyDescent="0.25"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</row>
    <row r="393" spans="2:13" x14ac:dyDescent="0.25"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</row>
    <row r="394" spans="2:13" x14ac:dyDescent="0.25"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</row>
    <row r="395" spans="2:13" x14ac:dyDescent="0.25"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</row>
    <row r="396" spans="2:13" x14ac:dyDescent="0.25"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</row>
    <row r="397" spans="2:13" x14ac:dyDescent="0.25"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</row>
    <row r="398" spans="2:13" x14ac:dyDescent="0.25"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</row>
    <row r="399" spans="2:13" x14ac:dyDescent="0.25"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</row>
    <row r="400" spans="2:13" x14ac:dyDescent="0.25"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</row>
    <row r="401" spans="2:13" x14ac:dyDescent="0.25"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</row>
    <row r="402" spans="2:13" x14ac:dyDescent="0.25"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</row>
    <row r="403" spans="2:13" x14ac:dyDescent="0.25"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</row>
    <row r="404" spans="2:13" x14ac:dyDescent="0.25"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</row>
    <row r="405" spans="2:13" x14ac:dyDescent="0.25"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</row>
    <row r="406" spans="2:13" x14ac:dyDescent="0.25"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2:13" x14ac:dyDescent="0.25"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</row>
    <row r="408" spans="2:13" x14ac:dyDescent="0.25"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</row>
    <row r="409" spans="2:13" x14ac:dyDescent="0.25"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2:13" x14ac:dyDescent="0.25"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2:13" x14ac:dyDescent="0.25"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2:13" x14ac:dyDescent="0.25"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2:13" x14ac:dyDescent="0.25"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2:13" x14ac:dyDescent="0.25"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2:13" x14ac:dyDescent="0.25"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2:13" x14ac:dyDescent="0.25"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2:13" x14ac:dyDescent="0.25"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2:13" x14ac:dyDescent="0.25"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2:13" x14ac:dyDescent="0.25"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2:13" x14ac:dyDescent="0.25"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2:13" x14ac:dyDescent="0.25"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2:13" x14ac:dyDescent="0.25"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2:13" x14ac:dyDescent="0.25"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2:13" x14ac:dyDescent="0.25"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</row>
    <row r="425" spans="2:13" x14ac:dyDescent="0.25"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</row>
    <row r="426" spans="2:13" x14ac:dyDescent="0.25"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</row>
    <row r="427" spans="2:13" x14ac:dyDescent="0.25"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</row>
    <row r="428" spans="2:13" x14ac:dyDescent="0.25"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</row>
    <row r="429" spans="2:13" x14ac:dyDescent="0.25"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</row>
    <row r="430" spans="2:13" x14ac:dyDescent="0.25"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</row>
    <row r="431" spans="2:13" x14ac:dyDescent="0.25"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</row>
    <row r="432" spans="2:13" x14ac:dyDescent="0.25"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</row>
    <row r="433" spans="2:13" x14ac:dyDescent="0.25"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</row>
    <row r="434" spans="2:13" x14ac:dyDescent="0.25"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</row>
    <row r="435" spans="2:13" x14ac:dyDescent="0.25"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</row>
    <row r="436" spans="2:13" x14ac:dyDescent="0.25"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</row>
    <row r="437" spans="2:13" x14ac:dyDescent="0.25"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</row>
    <row r="438" spans="2:13" x14ac:dyDescent="0.25"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2:13" x14ac:dyDescent="0.25"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</row>
    <row r="440" spans="2:13" x14ac:dyDescent="0.25"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</row>
    <row r="441" spans="2:13" x14ac:dyDescent="0.25"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2:13" x14ac:dyDescent="0.25"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2:13" x14ac:dyDescent="0.25"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2:13" x14ac:dyDescent="0.25"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2:13" x14ac:dyDescent="0.25"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2:13" x14ac:dyDescent="0.25"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2:13" x14ac:dyDescent="0.25"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2:13" x14ac:dyDescent="0.25"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2:13" x14ac:dyDescent="0.25"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2:13" x14ac:dyDescent="0.25"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2:13" x14ac:dyDescent="0.25"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2:13" x14ac:dyDescent="0.25"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2:13" x14ac:dyDescent="0.25"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2:13" x14ac:dyDescent="0.25"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2:13" x14ac:dyDescent="0.25"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2:13" x14ac:dyDescent="0.25"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2:13" x14ac:dyDescent="0.25"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2:13" x14ac:dyDescent="0.25"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2:13" x14ac:dyDescent="0.25"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2:13" x14ac:dyDescent="0.25"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2:13" x14ac:dyDescent="0.25"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2:13" x14ac:dyDescent="0.25"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2:13" x14ac:dyDescent="0.25"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2:13" x14ac:dyDescent="0.25"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2:13" x14ac:dyDescent="0.25"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2:13" x14ac:dyDescent="0.25"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2:13" x14ac:dyDescent="0.25"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2:13" x14ac:dyDescent="0.25"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</row>
    <row r="469" spans="2:13" x14ac:dyDescent="0.25"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</row>
    <row r="470" spans="2:13" x14ac:dyDescent="0.25"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</row>
    <row r="471" spans="2:13" x14ac:dyDescent="0.25"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</row>
    <row r="472" spans="2:13" x14ac:dyDescent="0.25"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</row>
    <row r="473" spans="2:13" x14ac:dyDescent="0.25"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</row>
    <row r="474" spans="2:13" x14ac:dyDescent="0.25"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</row>
    <row r="475" spans="2:13" x14ac:dyDescent="0.25"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</row>
    <row r="476" spans="2:13" x14ac:dyDescent="0.25"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</row>
    <row r="477" spans="2:13" x14ac:dyDescent="0.25"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2:13" x14ac:dyDescent="0.25"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2:13" x14ac:dyDescent="0.25"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</row>
    <row r="480" spans="2:13" x14ac:dyDescent="0.25"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</row>
    <row r="481" spans="2:13" x14ac:dyDescent="0.25"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</row>
    <row r="482" spans="2:13" x14ac:dyDescent="0.25"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</row>
    <row r="483" spans="2:13" x14ac:dyDescent="0.25"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</row>
    <row r="484" spans="2:13" x14ac:dyDescent="0.25"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</row>
    <row r="485" spans="2:13" x14ac:dyDescent="0.25"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</row>
    <row r="486" spans="2:13" x14ac:dyDescent="0.25"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</row>
    <row r="487" spans="2:13" x14ac:dyDescent="0.25"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</row>
    <row r="488" spans="2:13" x14ac:dyDescent="0.25"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</row>
    <row r="489" spans="2:13" x14ac:dyDescent="0.25"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</row>
    <row r="490" spans="2:13" x14ac:dyDescent="0.25"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</row>
    <row r="491" spans="2:13" x14ac:dyDescent="0.25"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</row>
    <row r="492" spans="2:13" x14ac:dyDescent="0.25"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2:13" x14ac:dyDescent="0.25"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</row>
    <row r="494" spans="2:13" x14ac:dyDescent="0.25"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</row>
    <row r="495" spans="2:13" x14ac:dyDescent="0.25"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</row>
    <row r="496" spans="2:13" x14ac:dyDescent="0.25"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</row>
    <row r="497" spans="2:13" x14ac:dyDescent="0.25"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</row>
    <row r="498" spans="2:13" x14ac:dyDescent="0.25"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</row>
    <row r="499" spans="2:13" x14ac:dyDescent="0.25"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</row>
    <row r="500" spans="2:13" x14ac:dyDescent="0.25"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</row>
    <row r="501" spans="2:13" x14ac:dyDescent="0.25"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</row>
    <row r="502" spans="2:13" x14ac:dyDescent="0.25"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</row>
    <row r="503" spans="2:13" x14ac:dyDescent="0.25"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</row>
    <row r="504" spans="2:13" x14ac:dyDescent="0.25"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</row>
    <row r="505" spans="2:13" x14ac:dyDescent="0.25"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</row>
    <row r="506" spans="2:13" x14ac:dyDescent="0.25"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</row>
    <row r="507" spans="2:13" x14ac:dyDescent="0.25"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</row>
    <row r="508" spans="2:13" x14ac:dyDescent="0.25"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</row>
    <row r="509" spans="2:13" x14ac:dyDescent="0.25"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</row>
    <row r="510" spans="2:13" x14ac:dyDescent="0.25"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</row>
    <row r="511" spans="2:13" x14ac:dyDescent="0.25"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</row>
    <row r="512" spans="2:13" x14ac:dyDescent="0.25"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</row>
    <row r="513" spans="2:13" x14ac:dyDescent="0.25"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</row>
    <row r="514" spans="2:13" x14ac:dyDescent="0.25"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</row>
    <row r="515" spans="2:13" x14ac:dyDescent="0.25"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</row>
    <row r="516" spans="2:13" x14ac:dyDescent="0.25"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</row>
    <row r="517" spans="2:13" x14ac:dyDescent="0.25"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</row>
    <row r="518" spans="2:13" x14ac:dyDescent="0.25"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</row>
    <row r="519" spans="2:13" x14ac:dyDescent="0.25"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</row>
    <row r="520" spans="2:13" x14ac:dyDescent="0.25"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</row>
    <row r="521" spans="2:13" x14ac:dyDescent="0.25"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</row>
    <row r="522" spans="2:13" x14ac:dyDescent="0.25"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</row>
    <row r="523" spans="2:13" x14ac:dyDescent="0.25"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</row>
    <row r="524" spans="2:13" x14ac:dyDescent="0.25"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</row>
    <row r="525" spans="2:13" x14ac:dyDescent="0.25"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</row>
    <row r="526" spans="2:13" x14ac:dyDescent="0.25"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</row>
    <row r="527" spans="2:13" x14ac:dyDescent="0.25"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</row>
    <row r="528" spans="2:13" x14ac:dyDescent="0.25"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</row>
    <row r="529" spans="2:13" x14ac:dyDescent="0.25"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</row>
    <row r="530" spans="2:13" x14ac:dyDescent="0.25"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</row>
    <row r="531" spans="2:13" x14ac:dyDescent="0.25"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</row>
    <row r="532" spans="2:13" x14ac:dyDescent="0.25"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</row>
    <row r="533" spans="2:13" x14ac:dyDescent="0.25"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</row>
    <row r="534" spans="2:13" x14ac:dyDescent="0.25"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</row>
    <row r="535" spans="2:13" x14ac:dyDescent="0.25"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</row>
    <row r="536" spans="2:13" x14ac:dyDescent="0.25"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</row>
    <row r="537" spans="2:13" x14ac:dyDescent="0.25"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</row>
    <row r="538" spans="2:13" x14ac:dyDescent="0.25"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</row>
    <row r="539" spans="2:13" x14ac:dyDescent="0.25"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</row>
    <row r="540" spans="2:13" x14ac:dyDescent="0.25"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</row>
    <row r="541" spans="2:13" x14ac:dyDescent="0.25"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</row>
    <row r="542" spans="2:13" x14ac:dyDescent="0.25"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</row>
    <row r="543" spans="2:13" x14ac:dyDescent="0.25"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</row>
    <row r="544" spans="2:13" x14ac:dyDescent="0.25"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</row>
    <row r="545" spans="2:13" x14ac:dyDescent="0.25"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</row>
    <row r="546" spans="2:13" x14ac:dyDescent="0.25"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</row>
    <row r="547" spans="2:13" x14ac:dyDescent="0.25"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</row>
    <row r="548" spans="2:13" x14ac:dyDescent="0.25"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</row>
    <row r="549" spans="2:13" x14ac:dyDescent="0.25"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</row>
    <row r="550" spans="2:13" x14ac:dyDescent="0.25"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</row>
    <row r="551" spans="2:13" x14ac:dyDescent="0.25"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</row>
    <row r="552" spans="2:13" x14ac:dyDescent="0.25"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</row>
    <row r="553" spans="2:13" x14ac:dyDescent="0.25"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</row>
    <row r="554" spans="2:13" x14ac:dyDescent="0.25"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</row>
    <row r="555" spans="2:13" x14ac:dyDescent="0.25"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</row>
    <row r="556" spans="2:13" x14ac:dyDescent="0.25"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</row>
    <row r="557" spans="2:13" x14ac:dyDescent="0.25"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</row>
    <row r="558" spans="2:13" x14ac:dyDescent="0.25"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</row>
    <row r="559" spans="2:13" x14ac:dyDescent="0.25"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</row>
    <row r="560" spans="2:13" x14ac:dyDescent="0.25"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</row>
    <row r="561" spans="2:13" x14ac:dyDescent="0.25"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</row>
  </sheetData>
  <mergeCells count="5">
    <mergeCell ref="I4:L4"/>
    <mergeCell ref="C8:K8"/>
    <mergeCell ref="D11:F11"/>
    <mergeCell ref="H11:K11"/>
    <mergeCell ref="B75:L75"/>
  </mergeCells>
  <pageMargins left="0.7" right="0.7" top="0.75" bottom="0.75" header="0.3" footer="0.3"/>
  <pageSetup scale="58" orientation="portrait" r:id="rId1"/>
  <rowBreaks count="1" manualBreakCount="1">
    <brk id="76" min="1" max="11" man="1"/>
  </rowBreaks>
  <colBreaks count="1" manualBreakCount="1">
    <brk id="13" max="1048575" man="1"/>
  </colBreaks>
  <ignoredErrors>
    <ignoredError sqref="G28 G34 G42:G43" formulaRange="1"/>
    <ignoredError sqref="C35:C38 C40:C41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390525</xdr:colOff>
                <xdr:row>0</xdr:row>
                <xdr:rowOff>114300</xdr:rowOff>
              </from>
              <to>
                <xdr:col>1</xdr:col>
                <xdr:colOff>352425</xdr:colOff>
                <xdr:row>1</xdr:row>
                <xdr:rowOff>142875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34"/>
  <sheetViews>
    <sheetView workbookViewId="0">
      <selection activeCell="I5" sqref="I5"/>
    </sheetView>
  </sheetViews>
  <sheetFormatPr defaultRowHeight="15" x14ac:dyDescent="0.25"/>
  <cols>
    <col min="1" max="1" width="9.140625" style="2"/>
    <col min="2" max="2" width="12" style="2" customWidth="1"/>
    <col min="3" max="3" width="9.140625" style="2"/>
    <col min="4" max="4" width="17.28515625" style="2" customWidth="1"/>
    <col min="5" max="5" width="12.28515625" style="2" customWidth="1"/>
    <col min="6" max="7" width="15.28515625" style="2" customWidth="1"/>
    <col min="8" max="8" width="12.5703125" style="2" customWidth="1"/>
    <col min="9" max="16384" width="9.140625" style="2"/>
  </cols>
  <sheetData>
    <row r="2" spans="1:8" x14ac:dyDescent="0.25">
      <c r="H2" s="81" t="s">
        <v>108</v>
      </c>
    </row>
    <row r="8" spans="1:8" ht="28.5" customHeight="1" x14ac:dyDescent="0.25">
      <c r="A8" s="169">
        <v>13.03</v>
      </c>
      <c r="B8" s="168" t="s">
        <v>110</v>
      </c>
      <c r="C8" s="168"/>
      <c r="D8" s="168"/>
      <c r="E8" s="168"/>
      <c r="F8" s="168"/>
      <c r="G8" s="168"/>
      <c r="H8" s="168"/>
    </row>
    <row r="9" spans="1:8" x14ac:dyDescent="0.25">
      <c r="B9" s="146"/>
      <c r="C9" s="149"/>
      <c r="D9" s="149"/>
      <c r="E9" s="149"/>
      <c r="F9" s="149"/>
      <c r="G9" s="149"/>
      <c r="H9" s="149"/>
    </row>
    <row r="10" spans="1:8" ht="51.75" x14ac:dyDescent="0.25">
      <c r="B10" s="117"/>
      <c r="C10" s="150" t="s">
        <v>3</v>
      </c>
      <c r="D10" s="151" t="s">
        <v>68</v>
      </c>
      <c r="E10" s="151" t="s">
        <v>61</v>
      </c>
      <c r="F10" s="151" t="s">
        <v>62</v>
      </c>
      <c r="G10" s="151" t="s">
        <v>63</v>
      </c>
      <c r="H10" s="152" t="s">
        <v>64</v>
      </c>
    </row>
    <row r="11" spans="1:8" x14ac:dyDescent="0.25">
      <c r="B11" s="117"/>
      <c r="C11" s="153">
        <v>1995</v>
      </c>
      <c r="D11" s="154">
        <v>51.6</v>
      </c>
      <c r="E11" s="154">
        <v>1.8</v>
      </c>
      <c r="F11" s="154"/>
      <c r="G11" s="154">
        <v>11.2</v>
      </c>
      <c r="H11" s="155">
        <v>4.0999999999999996</v>
      </c>
    </row>
    <row r="12" spans="1:8" x14ac:dyDescent="0.25">
      <c r="B12" s="117"/>
      <c r="C12" s="153">
        <v>1996</v>
      </c>
      <c r="D12" s="156">
        <v>67.599999999999994</v>
      </c>
      <c r="E12" s="156">
        <v>22.4</v>
      </c>
      <c r="F12" s="156"/>
      <c r="G12" s="156">
        <v>6.6</v>
      </c>
      <c r="H12" s="157">
        <v>3.4</v>
      </c>
    </row>
    <row r="13" spans="1:8" x14ac:dyDescent="0.25">
      <c r="B13" s="117"/>
      <c r="C13" s="153">
        <v>1997</v>
      </c>
      <c r="D13" s="156">
        <v>82.9</v>
      </c>
      <c r="E13" s="156">
        <v>25.5</v>
      </c>
      <c r="F13" s="156"/>
      <c r="G13" s="156">
        <v>8.6999999999999993</v>
      </c>
      <c r="H13" s="157">
        <v>4.5</v>
      </c>
    </row>
    <row r="14" spans="1:8" x14ac:dyDescent="0.25">
      <c r="B14" s="117"/>
      <c r="C14" s="153">
        <v>1998</v>
      </c>
      <c r="D14" s="156">
        <v>93.8</v>
      </c>
      <c r="E14" s="156">
        <v>21.5</v>
      </c>
      <c r="F14" s="156"/>
      <c r="G14" s="156">
        <v>10.9</v>
      </c>
      <c r="H14" s="157">
        <v>5.9</v>
      </c>
    </row>
    <row r="15" spans="1:8" x14ac:dyDescent="0.25">
      <c r="B15" s="117"/>
      <c r="C15" s="153">
        <v>1999</v>
      </c>
      <c r="D15" s="156">
        <v>98.3</v>
      </c>
      <c r="E15" s="156">
        <v>18.2</v>
      </c>
      <c r="F15" s="156"/>
      <c r="G15" s="156">
        <v>13.1</v>
      </c>
      <c r="H15" s="157">
        <v>5.6</v>
      </c>
    </row>
    <row r="16" spans="1:8" x14ac:dyDescent="0.25">
      <c r="B16" s="117"/>
      <c r="C16" s="153">
        <v>2000</v>
      </c>
      <c r="D16" s="156">
        <v>107.8</v>
      </c>
      <c r="E16" s="156">
        <v>23.8</v>
      </c>
      <c r="F16" s="156"/>
      <c r="G16" s="156">
        <v>14.3</v>
      </c>
      <c r="H16" s="157">
        <v>7</v>
      </c>
    </row>
    <row r="17" spans="1:8" x14ac:dyDescent="0.25">
      <c r="B17" s="117"/>
      <c r="C17" s="153">
        <v>2001</v>
      </c>
      <c r="D17" s="156">
        <v>143.5</v>
      </c>
      <c r="E17" s="156">
        <v>49.7</v>
      </c>
      <c r="F17" s="156"/>
      <c r="G17" s="156">
        <v>14</v>
      </c>
      <c r="H17" s="157">
        <v>6.8</v>
      </c>
    </row>
    <row r="18" spans="1:8" x14ac:dyDescent="0.25">
      <c r="B18" s="117"/>
      <c r="C18" s="153">
        <v>2002</v>
      </c>
      <c r="D18" s="156">
        <v>132.1</v>
      </c>
      <c r="E18" s="156">
        <v>10.9</v>
      </c>
      <c r="F18" s="158">
        <v>-0.3</v>
      </c>
      <c r="G18" s="156">
        <v>21.3</v>
      </c>
      <c r="H18" s="157">
        <v>3.8</v>
      </c>
    </row>
    <row r="19" spans="1:8" x14ac:dyDescent="0.25">
      <c r="B19" s="117"/>
      <c r="C19" s="153">
        <v>2003</v>
      </c>
      <c r="D19" s="156">
        <v>143.9</v>
      </c>
      <c r="E19" s="156">
        <v>136.9</v>
      </c>
      <c r="F19" s="158"/>
      <c r="G19" s="156">
        <v>124.5</v>
      </c>
      <c r="H19" s="157">
        <v>5.0999999999999996</v>
      </c>
    </row>
    <row r="20" spans="1:8" x14ac:dyDescent="0.25">
      <c r="B20" s="117"/>
      <c r="C20" s="153">
        <v>2004</v>
      </c>
      <c r="D20" s="156">
        <v>157.6</v>
      </c>
      <c r="E20" s="156">
        <v>23.3</v>
      </c>
      <c r="F20" s="158"/>
      <c r="G20" s="156">
        <v>9.5</v>
      </c>
      <c r="H20" s="157">
        <v>7.3</v>
      </c>
    </row>
    <row r="21" spans="1:8" x14ac:dyDescent="0.25">
      <c r="B21" s="117"/>
      <c r="C21" s="153">
        <v>2005</v>
      </c>
      <c r="D21" s="156">
        <v>180.9</v>
      </c>
      <c r="E21" s="156">
        <v>39</v>
      </c>
      <c r="F21" s="158"/>
      <c r="G21" s="156">
        <v>11.4</v>
      </c>
      <c r="H21" s="157">
        <v>9.5</v>
      </c>
    </row>
    <row r="22" spans="1:8" x14ac:dyDescent="0.25">
      <c r="B22" s="117"/>
      <c r="C22" s="153">
        <v>2006</v>
      </c>
      <c r="D22" s="156">
        <v>179.7</v>
      </c>
      <c r="E22" s="156">
        <v>10</v>
      </c>
      <c r="F22" s="158"/>
      <c r="G22" s="156">
        <v>14.5</v>
      </c>
      <c r="H22" s="157">
        <v>8.9</v>
      </c>
    </row>
    <row r="23" spans="1:8" x14ac:dyDescent="0.25">
      <c r="B23" s="117"/>
      <c r="C23" s="153">
        <v>2007</v>
      </c>
      <c r="D23" s="156">
        <v>210.5</v>
      </c>
      <c r="E23" s="156">
        <v>52.3</v>
      </c>
      <c r="F23" s="158">
        <v>-0.2</v>
      </c>
      <c r="G23" s="156">
        <v>16.399999999999999</v>
      </c>
      <c r="H23" s="157">
        <v>9.6</v>
      </c>
    </row>
    <row r="24" spans="1:8" x14ac:dyDescent="0.25">
      <c r="B24" s="117"/>
      <c r="C24" s="153">
        <v>2008</v>
      </c>
      <c r="D24" s="156">
        <v>354.9</v>
      </c>
      <c r="E24" s="156">
        <v>166.2</v>
      </c>
      <c r="F24" s="158">
        <v>-0.5</v>
      </c>
      <c r="G24" s="156">
        <v>20.7</v>
      </c>
      <c r="H24" s="157">
        <v>11.7</v>
      </c>
    </row>
    <row r="25" spans="1:8" x14ac:dyDescent="0.25">
      <c r="B25" s="117"/>
      <c r="C25" s="153">
        <v>2009</v>
      </c>
      <c r="D25" s="156">
        <v>513.5</v>
      </c>
      <c r="E25" s="156">
        <v>184.3</v>
      </c>
      <c r="F25" s="158"/>
      <c r="G25" s="156">
        <v>25.9</v>
      </c>
      <c r="H25" s="157">
        <v>19.399999999999999</v>
      </c>
    </row>
    <row r="26" spans="1:8" x14ac:dyDescent="0.25">
      <c r="B26" s="117"/>
      <c r="C26" s="153">
        <v>2010</v>
      </c>
      <c r="D26" s="156">
        <v>592.70000000000005</v>
      </c>
      <c r="E26" s="156">
        <v>106.7</v>
      </c>
      <c r="F26" s="158">
        <v>-0.2</v>
      </c>
      <c r="G26" s="156">
        <v>25.9</v>
      </c>
      <c r="H26" s="157">
        <v>27.9</v>
      </c>
    </row>
    <row r="27" spans="1:8" x14ac:dyDescent="0.25">
      <c r="B27" s="117"/>
      <c r="C27" s="153">
        <v>2011</v>
      </c>
      <c r="D27" s="156">
        <v>613.4</v>
      </c>
      <c r="E27" s="156">
        <v>154.19999999999999</v>
      </c>
      <c r="F27" s="158">
        <v>0.3</v>
      </c>
      <c r="G27" s="156">
        <v>133.9</v>
      </c>
      <c r="H27" s="157">
        <v>32.9</v>
      </c>
    </row>
    <row r="28" spans="1:8" x14ac:dyDescent="0.25">
      <c r="B28" s="117"/>
      <c r="C28" s="159">
        <v>2012</v>
      </c>
      <c r="D28" s="156">
        <v>586.20000000000005</v>
      </c>
      <c r="E28" s="160" t="s">
        <v>65</v>
      </c>
      <c r="F28" s="158">
        <v>-0.2</v>
      </c>
      <c r="G28" s="156">
        <v>25.9</v>
      </c>
      <c r="H28" s="157">
        <v>33.799999999999997</v>
      </c>
    </row>
    <row r="29" spans="1:8" x14ac:dyDescent="0.25">
      <c r="B29" s="117"/>
      <c r="C29" s="159">
        <v>2013</v>
      </c>
      <c r="D29" s="156">
        <v>559.9</v>
      </c>
      <c r="E29" s="160">
        <v>0.7</v>
      </c>
      <c r="F29" s="158">
        <v>0.1</v>
      </c>
      <c r="G29" s="156">
        <v>26.491619247075</v>
      </c>
      <c r="H29" s="157">
        <v>31.820023190000001</v>
      </c>
    </row>
    <row r="30" spans="1:8" x14ac:dyDescent="0.25">
      <c r="B30" s="117"/>
      <c r="C30" s="161">
        <v>2014</v>
      </c>
      <c r="D30" s="162">
        <v>534</v>
      </c>
      <c r="E30" s="163">
        <v>0</v>
      </c>
      <c r="F30" s="164">
        <f>[1]Working!$E$26/1000</f>
        <v>-3.125</v>
      </c>
      <c r="G30" s="162">
        <f>-([1]Report!$F$45+[1]Report!$F$46)</f>
        <v>33.865917979999999</v>
      </c>
      <c r="H30" s="163">
        <f>[1]Working!$E$23/1000</f>
        <v>29.190999999999999</v>
      </c>
    </row>
    <row r="31" spans="1:8" x14ac:dyDescent="0.25">
      <c r="B31" s="117"/>
      <c r="C31" s="159"/>
      <c r="D31" s="127"/>
      <c r="E31" s="127"/>
      <c r="F31" s="165"/>
      <c r="G31" s="127"/>
      <c r="H31" s="127"/>
    </row>
    <row r="32" spans="1:8" ht="27.75" customHeight="1" x14ac:dyDescent="0.25">
      <c r="A32" s="166" t="s">
        <v>67</v>
      </c>
      <c r="B32" s="166"/>
      <c r="C32" s="166"/>
      <c r="D32" s="166"/>
      <c r="E32" s="166"/>
      <c r="F32" s="166"/>
      <c r="G32" s="166"/>
      <c r="H32" s="166"/>
    </row>
    <row r="33" spans="1:8" x14ac:dyDescent="0.25">
      <c r="A33" s="167" t="s">
        <v>66</v>
      </c>
      <c r="B33" s="117"/>
      <c r="C33" s="167"/>
      <c r="D33" s="130"/>
      <c r="E33" s="130"/>
      <c r="F33" s="130"/>
      <c r="G33" s="130"/>
      <c r="H33" s="130"/>
    </row>
    <row r="34" spans="1:8" x14ac:dyDescent="0.25">
      <c r="B34" s="117"/>
      <c r="D34" s="130"/>
      <c r="E34" s="130"/>
      <c r="F34" s="130"/>
      <c r="G34" s="130"/>
      <c r="H34" s="130"/>
    </row>
  </sheetData>
  <mergeCells count="2">
    <mergeCell ref="B8:H8"/>
    <mergeCell ref="A32:H3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819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3</xdr:row>
                <xdr:rowOff>57150</xdr:rowOff>
              </to>
            </anchor>
          </objectPr>
        </oleObject>
      </mc:Choice>
      <mc:Fallback>
        <oleObject progId="MSPhotoEd.3" shapeId="81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13.01</vt:lpstr>
      <vt:lpstr>13.02</vt:lpstr>
      <vt:lpstr>13.01(delete)</vt:lpstr>
      <vt:lpstr>13.03</vt:lpstr>
      <vt:lpstr>'13.01(delete)'!Print_Area</vt:lpstr>
      <vt:lpstr>'13.02'!Print_Area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2015-08-07T21:14:18Z</dcterms:modified>
</cp:coreProperties>
</file>