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-135" windowWidth="11985" windowHeight="10440" firstSheet="1" activeTab="1"/>
  </bookViews>
  <sheets>
    <sheet name=".0" sheetId="1" state="hidden" r:id="rId1"/>
    <sheet name=".01" sheetId="2" r:id="rId2"/>
    <sheet name=".02" sheetId="3" r:id="rId3"/>
    <sheet name=".03" sheetId="4" r:id="rId4"/>
    <sheet name=".04new" sheetId="5" r:id="rId5"/>
    <sheet name=".05n" sheetId="6" r:id="rId6"/>
    <sheet name=".06" sheetId="7" r:id="rId7"/>
  </sheets>
  <externalReferences>
    <externalReference r:id="rId8"/>
  </externalReferences>
  <definedNames>
    <definedName name="_xlnm.Print_Area" localSheetId="0">'.0'!$C$2:$S$91</definedName>
    <definedName name="_xlnm.Print_Area" localSheetId="1">'.01'!$A$2:$K$90</definedName>
    <definedName name="_xlnm.Print_Area" localSheetId="2">'.02'!$A$2:$AI$68</definedName>
    <definedName name="_xlnm.Print_Area" localSheetId="3">'.03'!$B$2:$BC$61</definedName>
    <definedName name="_xlnm.Print_Area" localSheetId="5">'.05n'!$A$1:$M$411</definedName>
    <definedName name="_xlnm.Print_Area" localSheetId="6">'.06'!$A$1:$R$72</definedName>
  </definedNames>
  <calcPr calcId="145621"/>
</workbook>
</file>

<file path=xl/calcChain.xml><?xml version="1.0" encoding="utf-8"?>
<calcChain xmlns="http://schemas.openxmlformats.org/spreadsheetml/2006/main">
  <c r="N13" i="3" l="1"/>
  <c r="M13" i="3"/>
  <c r="L13" i="3"/>
  <c r="K13" i="3"/>
  <c r="J13" i="3"/>
  <c r="I13" i="3"/>
  <c r="H13" i="3"/>
  <c r="G13" i="3"/>
  <c r="F13" i="3"/>
  <c r="E13" i="3"/>
  <c r="D13" i="3"/>
  <c r="O13" i="3"/>
  <c r="O35" i="7" l="1"/>
  <c r="G22" i="5" l="1"/>
  <c r="G21" i="5"/>
  <c r="G20" i="5"/>
  <c r="G19" i="5"/>
  <c r="G18" i="5"/>
  <c r="F30" i="6" l="1"/>
  <c r="G30" i="6" s="1"/>
  <c r="AZ13" i="4"/>
  <c r="BA49" i="4" s="1"/>
  <c r="BA40" i="4" l="1"/>
  <c r="BA34" i="4"/>
  <c r="BA46" i="4"/>
  <c r="BA16" i="4"/>
  <c r="BA28" i="4"/>
  <c r="BA19" i="4"/>
  <c r="BA31" i="4"/>
  <c r="BA43" i="4"/>
  <c r="BA22" i="4"/>
  <c r="BA25" i="4"/>
  <c r="BA37" i="4"/>
  <c r="AF33" i="3"/>
  <c r="AF32" i="3"/>
  <c r="AF31" i="3"/>
  <c r="AF30" i="3"/>
  <c r="AF29" i="3"/>
  <c r="AF28" i="3"/>
  <c r="AF27" i="3"/>
  <c r="AF26" i="3"/>
  <c r="AF25" i="3"/>
  <c r="AE13" i="3"/>
  <c r="AF34" i="3" s="1"/>
  <c r="I62" i="2"/>
  <c r="H62" i="2"/>
  <c r="E62" i="2"/>
  <c r="BA13" i="4" l="1"/>
  <c r="AF16" i="3"/>
  <c r="AF19" i="3"/>
  <c r="AF22" i="3"/>
  <c r="H39" i="2"/>
  <c r="I60" i="2"/>
  <c r="H57" i="2"/>
  <c r="H58" i="2"/>
  <c r="E58" i="2"/>
  <c r="E57" i="2"/>
  <c r="E61" i="2"/>
  <c r="AF13" i="3" l="1"/>
  <c r="G29" i="6"/>
  <c r="F29" i="6"/>
  <c r="F28" i="6"/>
  <c r="AX13" i="4" l="1"/>
  <c r="AV13" i="4"/>
  <c r="AT13" i="4"/>
  <c r="AR13" i="4"/>
  <c r="I61" i="2"/>
  <c r="J62" i="2" s="1"/>
  <c r="D43" i="2"/>
  <c r="AY49" i="4" l="1"/>
  <c r="AD33" i="3"/>
  <c r="AD32" i="3"/>
  <c r="AD31" i="3"/>
  <c r="AD30" i="3"/>
  <c r="AD29" i="3"/>
  <c r="AD28" i="3"/>
  <c r="AD27" i="3"/>
  <c r="AD26" i="3"/>
  <c r="AD25" i="3"/>
  <c r="AC13" i="3"/>
  <c r="AD34" i="3" s="1"/>
  <c r="H61" i="2"/>
  <c r="AD19" i="3" l="1"/>
  <c r="AY16" i="4"/>
  <c r="AY40" i="4"/>
  <c r="AY19" i="4"/>
  <c r="AY31" i="4"/>
  <c r="AY43" i="4"/>
  <c r="AY22" i="4"/>
  <c r="AY34" i="4"/>
  <c r="AY46" i="4"/>
  <c r="AY28" i="4"/>
  <c r="AY25" i="4"/>
  <c r="AY37" i="4"/>
  <c r="AD16" i="3"/>
  <c r="AD22" i="3"/>
  <c r="J35" i="7"/>
  <c r="I35" i="7"/>
  <c r="H35" i="7"/>
  <c r="G35" i="7"/>
  <c r="F35" i="7"/>
  <c r="E35" i="7"/>
  <c r="G25" i="7"/>
  <c r="F25" i="7"/>
  <c r="E25" i="7"/>
  <c r="G28" i="6"/>
  <c r="G27" i="6"/>
  <c r="F26" i="6"/>
  <c r="E26" i="6"/>
  <c r="F25" i="6"/>
  <c r="E25" i="6"/>
  <c r="G25" i="6" s="1"/>
  <c r="F24" i="6"/>
  <c r="E24" i="6"/>
  <c r="G24" i="6" s="1"/>
  <c r="F23" i="6"/>
  <c r="E23" i="6"/>
  <c r="G23" i="6" s="1"/>
  <c r="F22" i="6"/>
  <c r="E22" i="6"/>
  <c r="G22" i="6" s="1"/>
  <c r="F21" i="6"/>
  <c r="E21" i="6"/>
  <c r="G21" i="6" s="1"/>
  <c r="F20" i="6"/>
  <c r="E20" i="6"/>
  <c r="G20" i="6" s="1"/>
  <c r="F17" i="6"/>
  <c r="E17" i="6"/>
  <c r="G17" i="6" s="1"/>
  <c r="F16" i="6"/>
  <c r="E16" i="6"/>
  <c r="G16" i="6" s="1"/>
  <c r="F15" i="6"/>
  <c r="E15" i="6"/>
  <c r="G15" i="6" s="1"/>
  <c r="F14" i="6"/>
  <c r="E14" i="6"/>
  <c r="G14" i="6" s="1"/>
  <c r="G13" i="6"/>
  <c r="F13" i="6"/>
  <c r="AU49" i="4"/>
  <c r="AS49" i="4"/>
  <c r="AE49" i="4"/>
  <c r="AD49" i="4"/>
  <c r="AU46" i="4"/>
  <c r="AS46" i="4"/>
  <c r="AE46" i="4"/>
  <c r="AD46" i="4"/>
  <c r="AU43" i="4"/>
  <c r="AS43" i="4"/>
  <c r="AE43" i="4"/>
  <c r="AD43" i="4"/>
  <c r="AU40" i="4"/>
  <c r="AS40" i="4"/>
  <c r="AE40" i="4"/>
  <c r="AD40" i="4"/>
  <c r="AU37" i="4"/>
  <c r="AS37" i="4"/>
  <c r="AE37" i="4"/>
  <c r="AD37" i="4"/>
  <c r="AU34" i="4"/>
  <c r="AS34" i="4"/>
  <c r="AE34" i="4"/>
  <c r="AD34" i="4"/>
  <c r="AU31" i="4"/>
  <c r="AS31" i="4"/>
  <c r="AE31" i="4"/>
  <c r="AD31" i="4"/>
  <c r="AU28" i="4"/>
  <c r="AS28" i="4"/>
  <c r="AE28" i="4"/>
  <c r="AD28" i="4"/>
  <c r="AU25" i="4"/>
  <c r="AS25" i="4"/>
  <c r="AE25" i="4"/>
  <c r="AD25" i="4"/>
  <c r="AU22" i="4"/>
  <c r="AS22" i="4"/>
  <c r="AE22" i="4"/>
  <c r="AD22" i="4"/>
  <c r="AC22" i="4"/>
  <c r="AU19" i="4"/>
  <c r="AS19" i="4"/>
  <c r="AE19" i="4"/>
  <c r="AD19" i="4"/>
  <c r="AC19" i="4"/>
  <c r="AU16" i="4"/>
  <c r="AS16" i="4"/>
  <c r="AE16" i="4"/>
  <c r="AD16" i="4"/>
  <c r="AC16" i="4"/>
  <c r="AP13" i="4"/>
  <c r="AQ49" i="4" s="1"/>
  <c r="AN13" i="4"/>
  <c r="AO46" i="4" s="1"/>
  <c r="AL13" i="4"/>
  <c r="AM49" i="4" s="1"/>
  <c r="AJ13" i="4"/>
  <c r="AK46" i="4" s="1"/>
  <c r="AI13" i="4"/>
  <c r="AH13" i="4"/>
  <c r="AG13" i="4"/>
  <c r="AF13" i="4"/>
  <c r="AD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K34" i="3"/>
  <c r="J34" i="3"/>
  <c r="I34" i="3"/>
  <c r="H34" i="3"/>
  <c r="G34" i="3"/>
  <c r="AB33" i="3"/>
  <c r="AB32" i="3"/>
  <c r="AB31" i="3"/>
  <c r="AB30" i="3"/>
  <c r="AB29" i="3"/>
  <c r="AB28" i="3"/>
  <c r="AB27" i="3"/>
  <c r="AB26" i="3"/>
  <c r="AB25" i="3"/>
  <c r="M22" i="3"/>
  <c r="J22" i="3"/>
  <c r="I22" i="3"/>
  <c r="H22" i="3"/>
  <c r="J19" i="3"/>
  <c r="I19" i="3"/>
  <c r="I32" i="3" s="1"/>
  <c r="H19" i="3"/>
  <c r="J16" i="3"/>
  <c r="I16" i="3"/>
  <c r="H16" i="3"/>
  <c r="AA13" i="3"/>
  <c r="AB19" i="3" s="1"/>
  <c r="Y13" i="3"/>
  <c r="Z34" i="3" s="1"/>
  <c r="W13" i="3"/>
  <c r="X19" i="3" s="1"/>
  <c r="U13" i="3"/>
  <c r="V34" i="3" s="1"/>
  <c r="S13" i="3"/>
  <c r="T19" i="3" s="1"/>
  <c r="Q13" i="3"/>
  <c r="R34" i="3" s="1"/>
  <c r="P19" i="3"/>
  <c r="K32" i="3"/>
  <c r="J32" i="3"/>
  <c r="H32" i="3"/>
  <c r="G32" i="3"/>
  <c r="F32" i="3"/>
  <c r="E32" i="3"/>
  <c r="D32" i="3"/>
  <c r="L86" i="2"/>
  <c r="P74" i="2"/>
  <c r="O74" i="2"/>
  <c r="P73" i="2"/>
  <c r="O73" i="2"/>
  <c r="P72" i="2"/>
  <c r="O72" i="2"/>
  <c r="P71" i="2"/>
  <c r="O71" i="2"/>
  <c r="P70" i="2"/>
  <c r="O70" i="2"/>
  <c r="P69" i="2"/>
  <c r="O69" i="2"/>
  <c r="Q69" i="2" s="1"/>
  <c r="P67" i="2"/>
  <c r="J61" i="2"/>
  <c r="H60" i="2"/>
  <c r="E60" i="2"/>
  <c r="I59" i="2"/>
  <c r="J60" i="2" s="1"/>
  <c r="H59" i="2"/>
  <c r="E59" i="2"/>
  <c r="I58" i="2"/>
  <c r="I57" i="2"/>
  <c r="I55" i="2"/>
  <c r="H55" i="2"/>
  <c r="E55" i="2"/>
  <c r="I54" i="2"/>
  <c r="H54" i="2"/>
  <c r="E54" i="2"/>
  <c r="I53" i="2"/>
  <c r="H53" i="2"/>
  <c r="E53" i="2"/>
  <c r="I52" i="2"/>
  <c r="H52" i="2"/>
  <c r="E52" i="2"/>
  <c r="I51" i="2"/>
  <c r="H51" i="2"/>
  <c r="E51" i="2"/>
  <c r="I49" i="2"/>
  <c r="H49" i="2"/>
  <c r="H48" i="2"/>
  <c r="O67" i="2"/>
  <c r="I47" i="2"/>
  <c r="G46" i="2"/>
  <c r="H47" i="2" s="1"/>
  <c r="E46" i="2"/>
  <c r="G45" i="2"/>
  <c r="I45" i="2" s="1"/>
  <c r="G43" i="2"/>
  <c r="H43" i="2" s="1"/>
  <c r="E43" i="2"/>
  <c r="I42" i="2"/>
  <c r="H42" i="2"/>
  <c r="E42" i="2"/>
  <c r="I41" i="2"/>
  <c r="H41" i="2"/>
  <c r="E41" i="2"/>
  <c r="I40" i="2"/>
  <c r="H40" i="2"/>
  <c r="E40" i="2"/>
  <c r="I39" i="2"/>
  <c r="E39" i="2"/>
  <c r="H37" i="2"/>
  <c r="E37" i="2"/>
  <c r="H36" i="2"/>
  <c r="E36" i="2"/>
  <c r="H35" i="2"/>
  <c r="E35" i="2"/>
  <c r="H34" i="2"/>
  <c r="E34" i="2"/>
  <c r="H33" i="2"/>
  <c r="E33" i="2"/>
  <c r="H32" i="2"/>
  <c r="E32" i="2"/>
  <c r="H31" i="2"/>
  <c r="E31" i="2"/>
  <c r="H30" i="2"/>
  <c r="E30" i="2"/>
  <c r="H29" i="2"/>
  <c r="E29" i="2"/>
  <c r="H28" i="2"/>
  <c r="E28" i="2"/>
  <c r="H27" i="2"/>
  <c r="E27" i="2"/>
  <c r="H26" i="2"/>
  <c r="E26" i="2"/>
  <c r="H25" i="2"/>
  <c r="E25" i="2"/>
  <c r="H24" i="2"/>
  <c r="E24" i="2"/>
  <c r="H23" i="2"/>
  <c r="E23" i="2"/>
  <c r="H22" i="2"/>
  <c r="E22" i="2"/>
  <c r="H21" i="2"/>
  <c r="E21" i="2"/>
  <c r="H20" i="2"/>
  <c r="E20" i="2"/>
  <c r="H19" i="2"/>
  <c r="E19" i="2"/>
  <c r="H18" i="2"/>
  <c r="E18" i="2"/>
  <c r="H17" i="2"/>
  <c r="E17" i="2"/>
  <c r="H16" i="2"/>
  <c r="E16" i="2"/>
  <c r="H15" i="2"/>
  <c r="E15" i="2"/>
  <c r="H14" i="2"/>
  <c r="E14" i="2"/>
  <c r="E13" i="2"/>
  <c r="AC13" i="4" l="1"/>
  <c r="AE13" i="4"/>
  <c r="G26" i="6"/>
  <c r="Q71" i="2"/>
  <c r="Q73" i="2"/>
  <c r="J40" i="2"/>
  <c r="J41" i="2"/>
  <c r="AY13" i="4"/>
  <c r="AW46" i="4"/>
  <c r="AW19" i="4"/>
  <c r="J55" i="2"/>
  <c r="J57" i="2"/>
  <c r="J59" i="2"/>
  <c r="J58" i="2"/>
  <c r="J51" i="2"/>
  <c r="J53" i="2"/>
  <c r="Q70" i="2"/>
  <c r="Q72" i="2"/>
  <c r="Q74" i="2"/>
  <c r="AD13" i="3"/>
  <c r="Q67" i="2"/>
  <c r="J42" i="2"/>
  <c r="I43" i="2"/>
  <c r="J43" i="2" s="1"/>
  <c r="E45" i="2"/>
  <c r="H45" i="2"/>
  <c r="I46" i="2"/>
  <c r="J46" i="2" s="1"/>
  <c r="E47" i="2"/>
  <c r="J52" i="2"/>
  <c r="J54" i="2"/>
  <c r="H46" i="2"/>
  <c r="E48" i="2"/>
  <c r="I48" i="2"/>
  <c r="E49" i="2"/>
  <c r="P13" i="3"/>
  <c r="R13" i="3"/>
  <c r="T13" i="3"/>
  <c r="V13" i="3"/>
  <c r="R16" i="3"/>
  <c r="V16" i="3"/>
  <c r="Z16" i="3"/>
  <c r="R19" i="3"/>
  <c r="V19" i="3"/>
  <c r="Z19" i="3"/>
  <c r="P22" i="3"/>
  <c r="T22" i="3"/>
  <c r="X22" i="3"/>
  <c r="AB22" i="3"/>
  <c r="E26" i="3"/>
  <c r="G26" i="3"/>
  <c r="I26" i="3"/>
  <c r="K26" i="3"/>
  <c r="E29" i="3"/>
  <c r="G29" i="3"/>
  <c r="I29" i="3"/>
  <c r="K29" i="3"/>
  <c r="P34" i="3"/>
  <c r="T34" i="3"/>
  <c r="X34" i="3"/>
  <c r="AB34" i="3"/>
  <c r="AK13" i="4"/>
  <c r="AM13" i="4"/>
  <c r="AO13" i="4"/>
  <c r="AM16" i="4"/>
  <c r="AQ16" i="4"/>
  <c r="AK19" i="4"/>
  <c r="AO19" i="4"/>
  <c r="AM22" i="4"/>
  <c r="AQ22" i="4"/>
  <c r="AM25" i="4"/>
  <c r="AQ25" i="4"/>
  <c r="AM28" i="4"/>
  <c r="AQ28" i="4"/>
  <c r="AM31" i="4"/>
  <c r="AQ31" i="4"/>
  <c r="AM34" i="4"/>
  <c r="AQ34" i="4"/>
  <c r="AM37" i="4"/>
  <c r="AQ37" i="4"/>
  <c r="AM40" i="4"/>
  <c r="AQ40" i="4"/>
  <c r="AM43" i="4"/>
  <c r="AQ43" i="4"/>
  <c r="AM46" i="4"/>
  <c r="AQ46" i="4"/>
  <c r="AM47" i="4"/>
  <c r="AK49" i="4"/>
  <c r="AO49" i="4"/>
  <c r="AW49" i="4"/>
  <c r="Z13" i="3"/>
  <c r="P16" i="3"/>
  <c r="T16" i="3"/>
  <c r="X16" i="3"/>
  <c r="AB16" i="3"/>
  <c r="AB13" i="3" s="1"/>
  <c r="R22" i="3"/>
  <c r="V22" i="3"/>
  <c r="Z22" i="3"/>
  <c r="Z25" i="3"/>
  <c r="D26" i="3"/>
  <c r="F26" i="3"/>
  <c r="H26" i="3"/>
  <c r="J26" i="3"/>
  <c r="Z26" i="3"/>
  <c r="Z27" i="3"/>
  <c r="Z28" i="3"/>
  <c r="D29" i="3"/>
  <c r="F29" i="3"/>
  <c r="H29" i="3"/>
  <c r="J29" i="3"/>
  <c r="Z29" i="3"/>
  <c r="Z30" i="3"/>
  <c r="Z31" i="3"/>
  <c r="Z32" i="3"/>
  <c r="Z33" i="3"/>
  <c r="AK16" i="4"/>
  <c r="AO16" i="4"/>
  <c r="AW16" i="4"/>
  <c r="AM19" i="4"/>
  <c r="AQ19" i="4"/>
  <c r="AK22" i="4"/>
  <c r="AO22" i="4"/>
  <c r="AW22" i="4"/>
  <c r="AK25" i="4"/>
  <c r="AO25" i="4"/>
  <c r="AW25" i="4"/>
  <c r="AK28" i="4"/>
  <c r="AO28" i="4"/>
  <c r="AW28" i="4"/>
  <c r="AK31" i="4"/>
  <c r="AO31" i="4"/>
  <c r="AW31" i="4"/>
  <c r="AK34" i="4"/>
  <c r="AO34" i="4"/>
  <c r="AW34" i="4"/>
  <c r="AK37" i="4"/>
  <c r="AO37" i="4"/>
  <c r="AW37" i="4"/>
  <c r="AK40" i="4"/>
  <c r="AO40" i="4"/>
  <c r="AW40" i="4"/>
  <c r="AK43" i="4"/>
  <c r="AO43" i="4"/>
  <c r="AW43" i="4"/>
  <c r="AQ13" i="4" l="1"/>
  <c r="J49" i="2"/>
  <c r="J48" i="2"/>
  <c r="J47" i="2"/>
  <c r="AW13" i="4"/>
  <c r="J45" i="2"/>
</calcChain>
</file>

<file path=xl/sharedStrings.xml><?xml version="1.0" encoding="utf-8"?>
<sst xmlns="http://schemas.openxmlformats.org/spreadsheetml/2006/main" count="226" uniqueCount="113">
  <si>
    <t>STATISTICAL COMPENDIUM 2008</t>
  </si>
  <si>
    <t>TOURISM</t>
  </si>
  <si>
    <t>Air Arrivals</t>
  </si>
  <si>
    <t>Sea (Cruise Ship) Arrivals</t>
  </si>
  <si>
    <t>Total Visitors</t>
  </si>
  <si>
    <t>Year</t>
  </si>
  <si>
    <t>Visitors            ('000)</t>
  </si>
  <si>
    <t>Percent Change</t>
  </si>
  <si>
    <t>Ship Calls</t>
  </si>
  <si>
    <t>Visitors   ('000)</t>
  </si>
  <si>
    <t>...</t>
  </si>
  <si>
    <t>.</t>
  </si>
  <si>
    <t>Total Arrivals</t>
  </si>
  <si>
    <t xml:space="preserve"> </t>
  </si>
  <si>
    <t>Note:</t>
  </si>
  <si>
    <t>Cruise ship passengers generally come ashore for less than a day.</t>
  </si>
  <si>
    <t>New series started in 2000 - returning residents were included in air arrivals data prior to 2000.</t>
  </si>
  <si>
    <t xml:space="preserve">Air Arrivals  </t>
  </si>
  <si>
    <t>Ship Arrivals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</si>
  <si>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Department of Tourism</t>
    </r>
  </si>
  <si>
    <t>('000) and %</t>
  </si>
  <si>
    <t>Country of Origin</t>
  </si>
  <si>
    <r>
      <t xml:space="preserve">2000 </t>
    </r>
    <r>
      <rPr>
        <b/>
        <vertAlign val="superscript"/>
        <sz val="10"/>
        <rFont val="Arial"/>
        <family val="2"/>
      </rPr>
      <t>1</t>
    </r>
  </si>
  <si>
    <t>#</t>
  </si>
  <si>
    <t>%</t>
  </si>
  <si>
    <t>All Countries</t>
  </si>
  <si>
    <t>U.S.A.</t>
  </si>
  <si>
    <t>Canada</t>
  </si>
  <si>
    <t>Europe</t>
  </si>
  <si>
    <t>Japan*</t>
  </si>
  <si>
    <t>Jamaica*</t>
  </si>
  <si>
    <t>Other Caribbean*</t>
  </si>
  <si>
    <t>Rest of World</t>
  </si>
  <si>
    <t>Month of Arrival</t>
  </si>
  <si>
    <t>Total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</si>
  <si>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</si>
  <si>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</si>
  <si>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</si>
  <si>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</si>
  <si>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</si>
  <si>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</si>
  <si>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</si>
  <si>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</si>
  <si>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</si>
  <si>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</si>
  <si>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</si>
  <si>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</si>
  <si>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Percent</t>
  </si>
  <si>
    <t>Sex</t>
  </si>
  <si>
    <t xml:space="preserve">  Female</t>
  </si>
  <si>
    <t xml:space="preserve">  Male</t>
  </si>
  <si>
    <t>Age</t>
  </si>
  <si>
    <t xml:space="preserve">  0-18</t>
  </si>
  <si>
    <t xml:space="preserve">  19-35</t>
  </si>
  <si>
    <t xml:space="preserve">  36-49</t>
  </si>
  <si>
    <t xml:space="preserve">  50-60</t>
  </si>
  <si>
    <t xml:space="preserve">  60+</t>
  </si>
  <si>
    <t xml:space="preserve">  Unknown</t>
  </si>
  <si>
    <t>-</t>
  </si>
  <si>
    <t>Occupation</t>
  </si>
  <si>
    <t xml:space="preserve">  Managerial</t>
  </si>
  <si>
    <t xml:space="preserve">  Professional</t>
  </si>
  <si>
    <t xml:space="preserve">  Student</t>
  </si>
  <si>
    <t xml:space="preserve">  Retired</t>
  </si>
  <si>
    <t xml:space="preserve">  Service/Trade</t>
  </si>
  <si>
    <t xml:space="preserve">  Other</t>
  </si>
  <si>
    <t>Purpose of visit</t>
  </si>
  <si>
    <t xml:space="preserve">  Recreation</t>
  </si>
  <si>
    <t xml:space="preserve">  Business</t>
  </si>
  <si>
    <t xml:space="preserve">  Visit Friends &amp; Family</t>
  </si>
  <si>
    <t xml:space="preserve">  Dive</t>
  </si>
  <si>
    <t>Previous visits</t>
  </si>
  <si>
    <t xml:space="preserve">  None</t>
  </si>
  <si>
    <t xml:space="preserve">  One</t>
  </si>
  <si>
    <t xml:space="preserve">  Two or more</t>
  </si>
  <si>
    <t>Accommodation</t>
  </si>
  <si>
    <t xml:space="preserve">  Hotel / Guest House</t>
  </si>
  <si>
    <t xml:space="preserve">  Apartment / Condominium</t>
  </si>
  <si>
    <t xml:space="preserve">  Private home</t>
  </si>
  <si>
    <t xml:space="preserve">  Timeshare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</si>
  <si>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Cayman Islands Immigration Department and Cayman Islands Department of Tourism</t>
    </r>
  </si>
  <si>
    <t>Number of Rooms</t>
  </si>
  <si>
    <t>..</t>
  </si>
  <si>
    <t>2014*</t>
  </si>
  <si>
    <t>Notes:</t>
  </si>
  <si>
    <t>As of  30th September each year.</t>
  </si>
  <si>
    <t>No data available for 2004 and 2005 due to the severe fluctuations resulting from Hurricane Ivan in September 2004.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</si>
  <si>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Cayman Islands Department of Tourism</t>
    </r>
  </si>
  <si>
    <t>Stay over visitors</t>
  </si>
  <si>
    <t>Average length of stay (nights)</t>
  </si>
  <si>
    <t>Average group size</t>
  </si>
  <si>
    <t xml:space="preserve">Expenditure per person per night (CI$) </t>
  </si>
  <si>
    <t>Estimated Total Spending (CI$M)</t>
  </si>
  <si>
    <t>Daily expenditure (CI$)</t>
  </si>
  <si>
    <t>Actual Arrivals (000's)</t>
  </si>
  <si>
    <t>Number of landed visitors (000's)</t>
  </si>
  <si>
    <t>Estimated total spending (CI$M)</t>
  </si>
  <si>
    <t>All visitors (CI$M)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</si>
  <si>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>Cayman Islands D</t>
    </r>
    <r>
      <rPr>
        <sz val="10"/>
        <rFont val="Arial"/>
        <family val="2"/>
      </rPr>
      <t xml:space="preserve">epartment of Tourism, Visitor Exit Survey </t>
    </r>
  </si>
  <si>
    <t>2015*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</si>
  <si>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Cayman Islands Immigration Department </t>
    </r>
  </si>
  <si>
    <t>Hotels</t>
  </si>
  <si>
    <t>Apartments &amp; Guest Houses</t>
  </si>
  <si>
    <t>Tourist Accommodation,  2000 - 2016</t>
  </si>
  <si>
    <t>2016*</t>
  </si>
  <si>
    <t>* As at December 31</t>
  </si>
  <si>
    <t>Cruise ship visitors*</t>
  </si>
  <si>
    <t>Visitor Arrivals in the Cayman Islands, 1970 - 2016</t>
  </si>
  <si>
    <t>Visitor Air Arrivals by Country of Origin, 1996 - 2016</t>
  </si>
  <si>
    <t>Visitor Air Arrivals, 1980 - 2016</t>
  </si>
  <si>
    <t>Visitor Air Arrivals by Selected Characteristics, 2004-  2015</t>
  </si>
  <si>
    <t>Visitor Expenditure 2005-2012, 2016*</t>
  </si>
  <si>
    <t>*No data available for 2013-2015.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</si>
</sst>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(* #,##0.00_);_(* \(#,##0.00\);_(* &quot;-&quot;??_);_(@_)"/>
    <numFmt numFmtId="164" formatCode="0."/>
    <numFmt numFmtId="165" formatCode="\-\ #\ \-"/>
    <numFmt numFmtId="166" formatCode="_(* #,##0.0_);_(* \(#,##0.0\);_(* &quot;-&quot;??_);_(@_)"/>
    <numFmt numFmtId="167" formatCode="0.0"/>
    <numFmt numFmtId="168" formatCode="#,##0.0_);\(#,##0.0\)"/>
    <numFmt numFmtId="169" formatCode="0.0_);\(0.0\)"/>
    <numFmt numFmtId="170" formatCode="_(* #,##0_);_(* \(#,##0\);_(* &quot;-&quot;??_);_(@_)"/>
    <numFmt numFmtId="171" formatCode="0.0%"/>
    <numFmt numFmtId="172" formatCode="\(0\)"/>
    <numFmt numFmtId="173" formatCode="\(0.0\)"/>
    <numFmt numFmtId="174" formatCode="#,##0.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Book Antiqua"/>
      <family val="1"/>
    </font>
    <font>
      <b/>
      <sz val="16"/>
      <name val="Arial"/>
      <family val="2"/>
    </font>
    <font>
      <b/>
      <sz val="11"/>
      <name val="Book Antiqua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vertAlign val="superscript"/>
      <sz val="10"/>
      <name val="Arial"/>
      <family val="2"/>
    </font>
    <font>
      <b/>
      <sz val="11"/>
      <color indexed="8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i/>
      <sz val="10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10"/>
      <name val="Verdana"/>
      <family val="2"/>
    </font>
    <font>
      <i/>
      <sz val="9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vertAlign val="superscript"/>
      <sz val="10"/>
      <color rgb="FFFF0000"/>
      <name val="Arial"/>
      <family val="2"/>
    </font>
    <font>
      <sz val="9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2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4">
    <xf numFmtId="0" fontId="0" fillId="0" borderId="0" xfId="0"/>
    <xf numFmtId="0" fontId="0" fillId="0" borderId="0" xfId="0" applyBorder="1"/>
    <xf numFmtId="0" fontId="2" fillId="0" borderId="0" xfId="0" applyFont="1" applyBorder="1"/>
    <xf numFmtId="0" fontId="0" fillId="0" borderId="0" xfId="0" applyFill="1" applyBorder="1"/>
    <xf numFmtId="0" fontId="0" fillId="0" borderId="0" xfId="0" applyFill="1"/>
    <xf numFmtId="0" fontId="3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Continuous"/>
    </xf>
    <xf numFmtId="164" fontId="4" fillId="0" borderId="0" xfId="0" applyNumberFormat="1" applyFont="1" applyBorder="1" applyAlignment="1"/>
    <xf numFmtId="166" fontId="12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/>
    <xf numFmtId="166" fontId="15" fillId="0" borderId="0" xfId="1" applyNumberFormat="1" applyFont="1" applyFill="1" applyBorder="1" applyAlignment="1">
      <alignment horizontal="left"/>
    </xf>
    <xf numFmtId="0" fontId="15" fillId="0" borderId="0" xfId="0" applyFont="1" applyFill="1" applyBorder="1"/>
    <xf numFmtId="166" fontId="16" fillId="0" borderId="0" xfId="1" applyNumberFormat="1" applyFont="1" applyFill="1" applyBorder="1" applyAlignment="1">
      <alignment horizontal="righ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/>
    <xf numFmtId="0" fontId="29" fillId="0" borderId="0" xfId="0" applyFont="1" applyFill="1" applyAlignment="1"/>
    <xf numFmtId="0" fontId="30" fillId="0" borderId="0" xfId="0" applyFont="1" applyFill="1"/>
    <xf numFmtId="0" fontId="7" fillId="0" borderId="2" xfId="0" applyFont="1" applyFill="1" applyBorder="1" applyAlignment="1">
      <alignment horizontal="right"/>
    </xf>
    <xf numFmtId="0" fontId="8" fillId="0" borderId="2" xfId="0" applyFont="1" applyFill="1" applyBorder="1" applyAlignment="1">
      <alignment horizontal="right"/>
    </xf>
    <xf numFmtId="0" fontId="8" fillId="0" borderId="2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/>
    <xf numFmtId="0" fontId="8" fillId="0" borderId="9" xfId="0" applyFont="1" applyFill="1" applyBorder="1" applyAlignment="1">
      <alignment horizontal="right"/>
    </xf>
    <xf numFmtId="0" fontId="8" fillId="0" borderId="5" xfId="0" applyFont="1" applyFill="1" applyBorder="1" applyAlignment="1">
      <alignment horizontal="right"/>
    </xf>
    <xf numFmtId="0" fontId="8" fillId="0" borderId="4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8" fillId="0" borderId="7" xfId="0" applyFont="1" applyFill="1" applyBorder="1"/>
    <xf numFmtId="0" fontId="8" fillId="0" borderId="6" xfId="0" applyFont="1" applyFill="1" applyBorder="1"/>
    <xf numFmtId="0" fontId="8" fillId="0" borderId="10" xfId="0" applyFont="1" applyFill="1" applyBorder="1"/>
    <xf numFmtId="10" fontId="30" fillId="0" borderId="0" xfId="0" applyNumberFormat="1" applyFont="1" applyFill="1"/>
    <xf numFmtId="167" fontId="30" fillId="0" borderId="0" xfId="0" applyNumberFormat="1" applyFont="1" applyFill="1"/>
    <xf numFmtId="174" fontId="30" fillId="0" borderId="0" xfId="0" applyNumberFormat="1" applyFont="1" applyFill="1"/>
    <xf numFmtId="0" fontId="7" fillId="0" borderId="0" xfId="0" applyFont="1" applyFill="1"/>
    <xf numFmtId="166" fontId="7" fillId="0" borderId="0" xfId="1" applyNumberFormat="1" applyFont="1" applyFill="1"/>
    <xf numFmtId="167" fontId="8" fillId="0" borderId="7" xfId="0" applyNumberFormat="1" applyFont="1" applyFill="1" applyBorder="1" applyAlignment="1">
      <alignment horizontal="right"/>
    </xf>
    <xf numFmtId="166" fontId="2" fillId="0" borderId="6" xfId="1" applyNumberFormat="1" applyFont="1" applyFill="1" applyBorder="1"/>
    <xf numFmtId="167" fontId="0" fillId="0" borderId="6" xfId="0" applyNumberFormat="1" applyFill="1" applyBorder="1"/>
    <xf numFmtId="167" fontId="8" fillId="0" borderId="0" xfId="0" applyNumberFormat="1" applyFont="1" applyFill="1"/>
    <xf numFmtId="167" fontId="2" fillId="0" borderId="0" xfId="0" applyNumberFormat="1" applyFont="1" applyFill="1" applyAlignment="1">
      <alignment horizontal="right"/>
    </xf>
    <xf numFmtId="167" fontId="8" fillId="0" borderId="7" xfId="0" applyNumberFormat="1" applyFont="1" applyFill="1" applyBorder="1"/>
    <xf numFmtId="167" fontId="2" fillId="0" borderId="0" xfId="2" applyNumberFormat="1" applyFont="1" applyFill="1" applyAlignment="1">
      <alignment horizontal="right"/>
    </xf>
    <xf numFmtId="171" fontId="8" fillId="0" borderId="0" xfId="2" applyNumberFormat="1" applyFont="1" applyFill="1"/>
    <xf numFmtId="171" fontId="2" fillId="0" borderId="0" xfId="2" applyNumberFormat="1" applyFont="1" applyFill="1"/>
    <xf numFmtId="9" fontId="2" fillId="0" borderId="0" xfId="2" applyNumberFormat="1" applyFont="1" applyFill="1"/>
    <xf numFmtId="9" fontId="2" fillId="0" borderId="7" xfId="2" applyNumberFormat="1" applyFont="1" applyFill="1" applyBorder="1"/>
    <xf numFmtId="9" fontId="2" fillId="0" borderId="6" xfId="2" applyNumberFormat="1" applyFont="1" applyFill="1" applyBorder="1"/>
    <xf numFmtId="9" fontId="2" fillId="0" borderId="0" xfId="2" applyNumberFormat="1" applyFont="1" applyFill="1" applyBorder="1"/>
    <xf numFmtId="167" fontId="2" fillId="0" borderId="0" xfId="2" applyNumberFormat="1" applyFont="1" applyFill="1"/>
    <xf numFmtId="0" fontId="0" fillId="0" borderId="0" xfId="0" applyFill="1" applyAlignment="1">
      <alignment wrapText="1"/>
    </xf>
    <xf numFmtId="0" fontId="0" fillId="0" borderId="7" xfId="0" applyFill="1" applyBorder="1"/>
    <xf numFmtId="0" fontId="0" fillId="0" borderId="6" xfId="0" applyFill="1" applyBorder="1"/>
    <xf numFmtId="167" fontId="0" fillId="0" borderId="0" xfId="0" applyNumberFormat="1" applyFill="1"/>
    <xf numFmtId="0" fontId="30" fillId="0" borderId="0" xfId="0" applyFont="1" applyFill="1" applyAlignment="1">
      <alignment wrapText="1"/>
    </xf>
    <xf numFmtId="166" fontId="2" fillId="0" borderId="0" xfId="1" applyNumberFormat="1" applyFont="1" applyFill="1"/>
    <xf numFmtId="0" fontId="0" fillId="0" borderId="0" xfId="0" applyFill="1" applyAlignment="1">
      <alignment horizontal="right"/>
    </xf>
    <xf numFmtId="166" fontId="2" fillId="0" borderId="7" xfId="1" applyNumberFormat="1" applyFont="1" applyFill="1" applyBorder="1"/>
    <xf numFmtId="167" fontId="0" fillId="0" borderId="7" xfId="0" applyNumberFormat="1" applyFill="1" applyBorder="1"/>
    <xf numFmtId="171" fontId="2" fillId="0" borderId="7" xfId="2" applyNumberFormat="1" applyFont="1" applyFill="1" applyBorder="1"/>
    <xf numFmtId="171" fontId="2" fillId="0" borderId="6" xfId="2" applyNumberFormat="1" applyFont="1" applyFill="1" applyBorder="1"/>
    <xf numFmtId="167" fontId="2" fillId="0" borderId="6" xfId="2" applyNumberFormat="1" applyFont="1" applyFill="1" applyBorder="1"/>
    <xf numFmtId="171" fontId="2" fillId="0" borderId="0" xfId="2" applyNumberFormat="1" applyFont="1" applyFill="1" applyBorder="1"/>
    <xf numFmtId="0" fontId="2" fillId="0" borderId="7" xfId="0" applyFont="1" applyFill="1" applyBorder="1"/>
    <xf numFmtId="167" fontId="2" fillId="0" borderId="7" xfId="0" applyNumberFormat="1" applyFont="1" applyFill="1" applyBorder="1"/>
    <xf numFmtId="0" fontId="18" fillId="0" borderId="0" xfId="0" applyFont="1" applyFill="1"/>
    <xf numFmtId="166" fontId="2" fillId="0" borderId="0" xfId="1" applyNumberFormat="1" applyFont="1" applyFill="1" applyAlignment="1">
      <alignment horizontal="right"/>
    </xf>
    <xf numFmtId="10" fontId="0" fillId="0" borderId="0" xfId="0" applyNumberFormat="1" applyFill="1" applyAlignment="1">
      <alignment horizontal="right"/>
    </xf>
    <xf numFmtId="167" fontId="0" fillId="0" borderId="0" xfId="0" applyNumberFormat="1" applyFill="1" applyAlignment="1">
      <alignment horizontal="right"/>
    </xf>
    <xf numFmtId="0" fontId="0" fillId="0" borderId="1" xfId="0" applyFill="1" applyBorder="1"/>
    <xf numFmtId="0" fontId="0" fillId="0" borderId="9" xfId="0" applyFill="1" applyBorder="1"/>
    <xf numFmtId="0" fontId="0" fillId="0" borderId="5" xfId="0" applyFill="1" applyBorder="1"/>
    <xf numFmtId="167" fontId="0" fillId="0" borderId="0" xfId="0" applyNumberFormat="1" applyFill="1" applyBorder="1"/>
    <xf numFmtId="0" fontId="19" fillId="0" borderId="0" xfId="0" applyFont="1" applyFill="1"/>
    <xf numFmtId="0" fontId="31" fillId="0" borderId="0" xfId="0" applyFont="1" applyFill="1"/>
    <xf numFmtId="0" fontId="2" fillId="0" borderId="0" xfId="0" applyFont="1" applyFill="1" applyAlignment="1">
      <alignment horizontal="left"/>
    </xf>
    <xf numFmtId="170" fontId="18" fillId="0" borderId="0" xfId="0" applyNumberFormat="1" applyFont="1" applyFill="1"/>
    <xf numFmtId="166" fontId="30" fillId="0" borderId="0" xfId="0" applyNumberFormat="1" applyFont="1" applyFill="1"/>
    <xf numFmtId="43" fontId="30" fillId="0" borderId="0" xfId="0" applyNumberFormat="1" applyFont="1" applyFill="1"/>
    <xf numFmtId="0" fontId="1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11" fillId="0" borderId="0" xfId="0" applyFont="1" applyFill="1"/>
    <xf numFmtId="166" fontId="0" fillId="0" borderId="0" xfId="0" applyNumberFormat="1" applyFill="1"/>
    <xf numFmtId="0" fontId="0" fillId="0" borderId="0" xfId="0" applyFill="1" applyAlignment="1">
      <alignment horizontal="centerContinuous"/>
    </xf>
    <xf numFmtId="166" fontId="0" fillId="0" borderId="0" xfId="1" applyNumberFormat="1" applyFont="1" applyFill="1"/>
    <xf numFmtId="0" fontId="6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166" fontId="7" fillId="0" borderId="7" xfId="1" applyNumberFormat="1" applyFont="1" applyFill="1" applyBorder="1"/>
    <xf numFmtId="166" fontId="7" fillId="0" borderId="0" xfId="1" quotePrefix="1" applyNumberFormat="1" applyFont="1" applyFill="1"/>
    <xf numFmtId="166" fontId="7" fillId="0" borderId="7" xfId="1" quotePrefix="1" applyNumberFormat="1" applyFont="1" applyFill="1" applyBorder="1"/>
    <xf numFmtId="166" fontId="2" fillId="0" borderId="0" xfId="1" applyNumberFormat="1" applyFont="1" applyFill="1" applyBorder="1"/>
    <xf numFmtId="9" fontId="2" fillId="0" borderId="0" xfId="2" applyFont="1" applyFill="1"/>
    <xf numFmtId="172" fontId="7" fillId="0" borderId="0" xfId="0" applyNumberFormat="1" applyFont="1" applyFill="1"/>
    <xf numFmtId="167" fontId="0" fillId="0" borderId="0" xfId="0" quotePrefix="1" applyNumberFormat="1" applyFill="1"/>
    <xf numFmtId="167" fontId="0" fillId="0" borderId="7" xfId="0" quotePrefix="1" applyNumberFormat="1" applyFill="1" applyBorder="1"/>
    <xf numFmtId="173" fontId="0" fillId="0" borderId="0" xfId="0" applyNumberFormat="1" applyFill="1"/>
    <xf numFmtId="166" fontId="20" fillId="0" borderId="0" xfId="1" applyNumberFormat="1" applyFont="1" applyFill="1" applyAlignment="1">
      <alignment wrapText="1"/>
    </xf>
    <xf numFmtId="0" fontId="0" fillId="0" borderId="0" xfId="0" applyFill="1" applyAlignment="1">
      <alignment horizontal="left"/>
    </xf>
    <xf numFmtId="0" fontId="5" fillId="0" borderId="0" xfId="0" applyFont="1" applyFill="1" applyAlignment="1">
      <alignment horizontal="right"/>
    </xf>
    <xf numFmtId="0" fontId="21" fillId="0" borderId="1" xfId="0" applyFont="1" applyFill="1" applyBorder="1" applyAlignment="1">
      <alignment horizontal="right"/>
    </xf>
    <xf numFmtId="0" fontId="0" fillId="0" borderId="2" xfId="0" applyFill="1" applyBorder="1"/>
    <xf numFmtId="0" fontId="7" fillId="0" borderId="2" xfId="0" applyFont="1" applyFill="1" applyBorder="1"/>
    <xf numFmtId="3" fontId="0" fillId="0" borderId="0" xfId="0" applyNumberFormat="1" applyFill="1"/>
    <xf numFmtId="166" fontId="0" fillId="0" borderId="0" xfId="0" applyNumberFormat="1" applyFill="1" applyAlignment="1">
      <alignment horizontal="right"/>
    </xf>
    <xf numFmtId="166" fontId="2" fillId="0" borderId="0" xfId="1" quotePrefix="1" applyNumberFormat="1" applyFont="1" applyFill="1" applyAlignment="1">
      <alignment horizontal="right"/>
    </xf>
    <xf numFmtId="0" fontId="2" fillId="0" borderId="0" xfId="0" applyFont="1" applyFill="1"/>
    <xf numFmtId="170" fontId="7" fillId="0" borderId="0" xfId="0" applyNumberFormat="1" applyFont="1" applyFill="1"/>
    <xf numFmtId="167" fontId="11" fillId="0" borderId="0" xfId="0" applyNumberFormat="1" applyFont="1" applyFill="1" applyAlignment="1">
      <alignment horizontal="right"/>
    </xf>
    <xf numFmtId="170" fontId="0" fillId="0" borderId="0" xfId="0" applyNumberFormat="1" applyFill="1"/>
    <xf numFmtId="170" fontId="0" fillId="0" borderId="1" xfId="0" applyNumberFormat="1" applyFill="1" applyBorder="1"/>
    <xf numFmtId="1" fontId="0" fillId="0" borderId="1" xfId="0" applyNumberFormat="1" applyFill="1" applyBorder="1"/>
    <xf numFmtId="0" fontId="0" fillId="0" borderId="0" xfId="0" applyFill="1" applyAlignment="1">
      <alignment horizontal="center"/>
    </xf>
    <xf numFmtId="0" fontId="22" fillId="0" borderId="0" xfId="0" applyFont="1" applyFill="1" applyAlignment="1">
      <alignment horizontal="left"/>
    </xf>
    <xf numFmtId="0" fontId="0" fillId="0" borderId="0" xfId="0" applyFill="1" applyBorder="1" applyAlignment="1">
      <alignment horizontal="center"/>
    </xf>
    <xf numFmtId="0" fontId="23" fillId="0" borderId="0" xfId="0" applyFont="1" applyFill="1"/>
    <xf numFmtId="0" fontId="23" fillId="0" borderId="0" xfId="0" applyFont="1" applyFill="1" applyAlignment="1"/>
    <xf numFmtId="0" fontId="23" fillId="0" borderId="1" xfId="0" applyFont="1" applyFill="1" applyBorder="1" applyAlignment="1"/>
    <xf numFmtId="0" fontId="23" fillId="0" borderId="0" xfId="0" applyFont="1" applyFill="1" applyBorder="1" applyAlignment="1"/>
    <xf numFmtId="0" fontId="24" fillId="0" borderId="0" xfId="0" applyFont="1" applyFill="1" applyBorder="1" applyAlignment="1">
      <alignment horizontal="center" vertical="center"/>
    </xf>
    <xf numFmtId="0" fontId="23" fillId="0" borderId="0" xfId="0" applyFont="1" applyFill="1" applyBorder="1"/>
    <xf numFmtId="0" fontId="23" fillId="0" borderId="8" xfId="0" applyFont="1" applyFill="1" applyBorder="1" applyAlignment="1">
      <alignment horizontal="center"/>
    </xf>
    <xf numFmtId="0" fontId="25" fillId="0" borderId="8" xfId="0" applyFont="1" applyFill="1" applyBorder="1"/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vertical="center" wrapText="1"/>
    </xf>
    <xf numFmtId="0" fontId="26" fillId="0" borderId="0" xfId="0" applyFont="1" applyFill="1"/>
    <xf numFmtId="0" fontId="26" fillId="0" borderId="0" xfId="0" applyFont="1" applyFill="1" applyBorder="1"/>
    <xf numFmtId="0" fontId="26" fillId="0" borderId="0" xfId="0" applyFont="1" applyFill="1" applyAlignment="1">
      <alignment horizontal="center"/>
    </xf>
    <xf numFmtId="170" fontId="26" fillId="0" borderId="0" xfId="1" applyNumberFormat="1" applyFont="1" applyFill="1" applyBorder="1"/>
    <xf numFmtId="0" fontId="26" fillId="0" borderId="0" xfId="0" applyFont="1" applyFill="1" applyBorder="1" applyAlignment="1"/>
    <xf numFmtId="0" fontId="23" fillId="0" borderId="0" xfId="0" applyFont="1" applyFill="1" applyBorder="1" applyAlignment="1">
      <alignment horizontal="center"/>
    </xf>
    <xf numFmtId="170" fontId="23" fillId="0" borderId="0" xfId="1" applyNumberFormat="1" applyFont="1" applyFill="1" applyBorder="1" applyAlignment="1"/>
    <xf numFmtId="170" fontId="23" fillId="0" borderId="0" xfId="1" applyNumberFormat="1" applyFont="1" applyFill="1" applyBorder="1"/>
    <xf numFmtId="0" fontId="0" fillId="0" borderId="0" xfId="0" applyFill="1" applyBorder="1" applyAlignment="1"/>
    <xf numFmtId="170" fontId="2" fillId="0" borderId="0" xfId="1" applyNumberFormat="1" applyFont="1" applyFill="1" applyBorder="1" applyAlignment="1">
      <alignment horizontal="right"/>
    </xf>
    <xf numFmtId="170" fontId="23" fillId="0" borderId="0" xfId="1" applyNumberFormat="1" applyFont="1" applyFill="1" applyBorder="1" applyAlignment="1">
      <alignment horizontal="right"/>
    </xf>
    <xf numFmtId="170" fontId="2" fillId="0" borderId="0" xfId="1" applyNumberFormat="1" applyFont="1" applyFill="1" applyBorder="1"/>
    <xf numFmtId="0" fontId="26" fillId="0" borderId="0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70" fontId="2" fillId="0" borderId="1" xfId="1" applyNumberFormat="1" applyFont="1" applyFill="1" applyBorder="1"/>
    <xf numFmtId="170" fontId="23" fillId="0" borderId="1" xfId="1" applyNumberFormat="1" applyFont="1" applyFill="1" applyBorder="1"/>
    <xf numFmtId="0" fontId="24" fillId="0" borderId="0" xfId="0" applyFont="1" applyFill="1" applyBorder="1"/>
    <xf numFmtId="0" fontId="27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2" fillId="0" borderId="0" xfId="0" applyFont="1" applyFill="1" applyAlignment="1"/>
    <xf numFmtId="0" fontId="0" fillId="0" borderId="0" xfId="0" applyFill="1" applyBorder="1" applyAlignment="1">
      <alignment horizontal="centerContinuous"/>
    </xf>
    <xf numFmtId="165" fontId="0" fillId="0" borderId="0" xfId="0" applyNumberFormat="1" applyFill="1" applyAlignment="1"/>
    <xf numFmtId="0" fontId="6" fillId="0" borderId="0" xfId="0" applyFont="1" applyFill="1"/>
    <xf numFmtId="2" fontId="0" fillId="0" borderId="0" xfId="0" applyNumberFormat="1" applyFill="1"/>
    <xf numFmtId="1" fontId="23" fillId="0" borderId="0" xfId="0" applyNumberFormat="1" applyFont="1" applyFill="1"/>
    <xf numFmtId="1" fontId="0" fillId="0" borderId="0" xfId="0" applyNumberFormat="1" applyFill="1"/>
    <xf numFmtId="0" fontId="8" fillId="0" borderId="0" xfId="0" applyFont="1" applyFill="1"/>
    <xf numFmtId="1" fontId="24" fillId="0" borderId="0" xfId="0" applyNumberFormat="1" applyFont="1" applyFill="1"/>
    <xf numFmtId="1" fontId="8" fillId="0" borderId="0" xfId="0" applyNumberFormat="1" applyFont="1" applyFill="1"/>
    <xf numFmtId="167" fontId="7" fillId="0" borderId="0" xfId="0" applyNumberFormat="1" applyFont="1" applyFill="1"/>
    <xf numFmtId="170" fontId="8" fillId="0" borderId="0" xfId="1" applyNumberFormat="1" applyFont="1" applyFill="1"/>
    <xf numFmtId="1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170" fontId="2" fillId="0" borderId="0" xfId="1" applyNumberFormat="1" applyFont="1" applyFill="1"/>
    <xf numFmtId="170" fontId="6" fillId="0" borderId="0" xfId="1" applyNumberFormat="1" applyFont="1" applyFill="1" applyAlignment="1">
      <alignment horizontal="left"/>
    </xf>
    <xf numFmtId="0" fontId="28" fillId="0" borderId="0" xfId="0" applyFont="1" applyFill="1"/>
    <xf numFmtId="0" fontId="4" fillId="0" borderId="0" xfId="0" applyFont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right"/>
    </xf>
    <xf numFmtId="0" fontId="6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 vertical="top" wrapText="1"/>
    </xf>
    <xf numFmtId="0" fontId="8" fillId="0" borderId="2" xfId="0" applyFont="1" applyFill="1" applyBorder="1" applyAlignment="1">
      <alignment horizontal="centerContinuous"/>
    </xf>
    <xf numFmtId="0" fontId="9" fillId="0" borderId="3" xfId="0" applyFont="1" applyFill="1" applyBorder="1" applyAlignment="1">
      <alignment horizontal="centerContinuous"/>
    </xf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right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right"/>
    </xf>
    <xf numFmtId="1" fontId="2" fillId="0" borderId="0" xfId="1" applyNumberFormat="1" applyFont="1" applyFill="1" applyAlignment="1">
      <alignment horizontal="right"/>
    </xf>
    <xf numFmtId="168" fontId="2" fillId="0" borderId="7" xfId="0" applyNumberFormat="1" applyFont="1" applyFill="1" applyBorder="1"/>
    <xf numFmtId="168" fontId="0" fillId="0" borderId="6" xfId="0" applyNumberFormat="1" applyFill="1" applyBorder="1"/>
    <xf numFmtId="168" fontId="0" fillId="0" borderId="0" xfId="0" applyNumberFormat="1" applyFill="1"/>
    <xf numFmtId="168" fontId="0" fillId="0" borderId="7" xfId="0" applyNumberForma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ill="1" applyBorder="1"/>
    <xf numFmtId="169" fontId="0" fillId="0" borderId="0" xfId="0" applyNumberFormat="1" applyFill="1" applyBorder="1"/>
    <xf numFmtId="168" fontId="2" fillId="0" borderId="0" xfId="1" applyNumberFormat="1" applyFont="1" applyFill="1" applyBorder="1" applyAlignment="1"/>
    <xf numFmtId="168" fontId="2" fillId="0" borderId="0" xfId="1" applyNumberFormat="1" applyFont="1" applyFill="1" applyBorder="1"/>
    <xf numFmtId="168" fontId="0" fillId="0" borderId="0" xfId="1" applyNumberFormat="1" applyFont="1" applyFill="1" applyBorder="1" applyAlignment="1"/>
    <xf numFmtId="168" fontId="0" fillId="0" borderId="0" xfId="1" applyNumberFormat="1" applyFont="1" applyFill="1" applyBorder="1"/>
    <xf numFmtId="0" fontId="0" fillId="0" borderId="0" xfId="0" applyFill="1" applyBorder="1" applyAlignment="1">
      <alignment horizontal="right"/>
    </xf>
    <xf numFmtId="168" fontId="0" fillId="0" borderId="1" xfId="0" applyNumberFormat="1" applyFill="1" applyBorder="1"/>
    <xf numFmtId="1" fontId="0" fillId="0" borderId="7" xfId="0" applyNumberFormat="1" applyFill="1" applyBorder="1"/>
    <xf numFmtId="168" fontId="0" fillId="0" borderId="0" xfId="0" applyNumberFormat="1" applyFill="1" applyBorder="1" applyAlignment="1">
      <alignment horizontal="right"/>
    </xf>
    <xf numFmtId="168" fontId="2" fillId="0" borderId="0" xfId="0" applyNumberFormat="1" applyFont="1" applyFill="1" applyBorder="1"/>
    <xf numFmtId="168" fontId="2" fillId="0" borderId="6" xfId="0" applyNumberFormat="1" applyFont="1" applyFill="1" applyBorder="1"/>
    <xf numFmtId="0" fontId="2" fillId="0" borderId="0" xfId="0" applyFont="1" applyFill="1" applyBorder="1"/>
    <xf numFmtId="168" fontId="2" fillId="0" borderId="1" xfId="0" applyNumberFormat="1" applyFont="1" applyFill="1" applyBorder="1"/>
    <xf numFmtId="168" fontId="2" fillId="0" borderId="5" xfId="0" applyNumberFormat="1" applyFont="1" applyFill="1" applyBorder="1"/>
    <xf numFmtId="0" fontId="2" fillId="0" borderId="1" xfId="0" applyFont="1" applyFill="1" applyBorder="1"/>
    <xf numFmtId="168" fontId="0" fillId="0" borderId="9" xfId="0" applyNumberFormat="1" applyFill="1" applyBorder="1"/>
    <xf numFmtId="169" fontId="0" fillId="0" borderId="1" xfId="0" applyNumberFormat="1" applyFill="1" applyBorder="1"/>
    <xf numFmtId="0" fontId="13" fillId="0" borderId="0" xfId="0" applyFont="1" applyFill="1" applyAlignment="1">
      <alignment horizontal="right" vertical="center"/>
    </xf>
    <xf numFmtId="0" fontId="0" fillId="0" borderId="0" xfId="0" applyFill="1" applyBorder="1" applyAlignment="1">
      <alignment horizontal="left" wrapText="1"/>
    </xf>
    <xf numFmtId="0" fontId="14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0" fillId="0" borderId="0" xfId="0" applyFill="1" applyBorder="1" applyAlignment="1">
      <alignment horizontal="left" wrapText="1"/>
    </xf>
    <xf numFmtId="170" fontId="0" fillId="0" borderId="0" xfId="1" applyNumberFormat="1" applyFont="1" applyFill="1"/>
    <xf numFmtId="167" fontId="8" fillId="0" borderId="0" xfId="0" applyNumberFormat="1" applyFont="1" applyFill="1" applyBorder="1" applyAlignment="1">
      <alignment horizontal="right"/>
    </xf>
    <xf numFmtId="0" fontId="7" fillId="0" borderId="11" xfId="0" applyFont="1" applyFill="1" applyBorder="1" applyAlignment="1">
      <alignment horizontal="right"/>
    </xf>
    <xf numFmtId="0" fontId="7" fillId="0" borderId="12" xfId="0" applyFont="1" applyFill="1" applyBorder="1" applyAlignment="1">
      <alignment horizontal="right"/>
    </xf>
    <xf numFmtId="0" fontId="7" fillId="0" borderId="13" xfId="0" applyFont="1" applyFill="1" applyBorder="1" applyAlignment="1">
      <alignment horizontal="right"/>
    </xf>
    <xf numFmtId="167" fontId="8" fillId="0" borderId="13" xfId="0" applyNumberFormat="1" applyFont="1" applyFill="1" applyBorder="1" applyAlignment="1">
      <alignment horizontal="right"/>
    </xf>
    <xf numFmtId="171" fontId="8" fillId="0" borderId="13" xfId="2" applyNumberFormat="1" applyFont="1" applyFill="1" applyBorder="1"/>
    <xf numFmtId="0" fontId="0" fillId="0" borderId="13" xfId="0" applyFill="1" applyBorder="1"/>
    <xf numFmtId="166" fontId="2" fillId="0" borderId="13" xfId="1" applyNumberFormat="1" applyFont="1" applyFill="1" applyBorder="1"/>
    <xf numFmtId="171" fontId="2" fillId="0" borderId="13" xfId="2" applyNumberFormat="1" applyFont="1" applyFill="1" applyBorder="1"/>
    <xf numFmtId="0" fontId="0" fillId="0" borderId="12" xfId="0" applyFill="1" applyBorder="1"/>
    <xf numFmtId="9" fontId="2" fillId="0" borderId="13" xfId="2" applyNumberFormat="1" applyFont="1" applyFill="1" applyBorder="1"/>
    <xf numFmtId="0" fontId="8" fillId="0" borderId="11" xfId="0" applyFont="1" applyFill="1" applyBorder="1" applyAlignment="1">
      <alignment horizontal="right"/>
    </xf>
    <xf numFmtId="0" fontId="8" fillId="0" borderId="12" xfId="0" applyFont="1" applyFill="1" applyBorder="1" applyAlignment="1">
      <alignment horizontal="right"/>
    </xf>
    <xf numFmtId="0" fontId="8" fillId="0" borderId="13" xfId="0" applyFont="1" applyFill="1" applyBorder="1" applyAlignment="1">
      <alignment horizontal="right"/>
    </xf>
    <xf numFmtId="167" fontId="0" fillId="0" borderId="13" xfId="0" applyNumberFormat="1" applyFill="1" applyBorder="1"/>
    <xf numFmtId="167" fontId="0" fillId="0" borderId="13" xfId="0" applyNumberFormat="1" applyFill="1" applyBorder="1" applyAlignment="1">
      <alignment horizontal="right"/>
    </xf>
    <xf numFmtId="166" fontId="2" fillId="0" borderId="13" xfId="1" applyNumberFormat="1" applyFont="1" applyFill="1" applyBorder="1" applyAlignment="1">
      <alignment horizontal="right"/>
    </xf>
    <xf numFmtId="0" fontId="8" fillId="0" borderId="11" xfId="0" applyFont="1" applyFill="1" applyBorder="1"/>
    <xf numFmtId="0" fontId="8" fillId="0" borderId="12" xfId="0" applyFont="1" applyFill="1" applyBorder="1"/>
    <xf numFmtId="0" fontId="8" fillId="0" borderId="13" xfId="0" applyFont="1" applyFill="1" applyBorder="1"/>
    <xf numFmtId="171" fontId="2" fillId="0" borderId="13" xfId="2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right"/>
    </xf>
    <xf numFmtId="0" fontId="2" fillId="0" borderId="0" xfId="0" applyFont="1" applyFill="1" applyAlignment="1">
      <alignment horizontal="left" wrapText="1"/>
    </xf>
    <xf numFmtId="0" fontId="32" fillId="0" borderId="1" xfId="0" applyFont="1" applyFill="1" applyBorder="1" applyAlignment="1">
      <alignment horizontal="right"/>
    </xf>
  </cellXfs>
  <cellStyles count="18">
    <cellStyle name="Comma" xfId="1" builtinId="3"/>
    <cellStyle name="Normal" xfId="0" builtinId="0"/>
    <cellStyle name="Normal 10" xfId="3"/>
    <cellStyle name="Normal 2" xfId="4"/>
    <cellStyle name="Normal 2 2" xfId="6"/>
    <cellStyle name="Normal 3" xfId="5"/>
    <cellStyle name="Normal 4" xfId="8"/>
    <cellStyle name="Normal 4 2" xfId="11"/>
    <cellStyle name="Normal 4 3" xfId="14"/>
    <cellStyle name="Normal 5" xfId="9"/>
    <cellStyle name="Normal 5 2" xfId="12"/>
    <cellStyle name="Normal 5 3" xfId="15"/>
    <cellStyle name="Normal 6" xfId="10"/>
    <cellStyle name="Normal 7" xfId="13"/>
    <cellStyle name="Normal 8" xfId="16"/>
    <cellStyle name="Normal 9" xfId="17"/>
    <cellStyle name="Percent" xfId="2" builtinId="5"/>
    <cellStyle name="Percent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</xdr:row>
      <xdr:rowOff>19050</xdr:rowOff>
    </xdr:from>
    <xdr:to>
      <xdr:col>18</xdr:col>
      <xdr:colOff>571500</xdr:colOff>
      <xdr:row>90</xdr:row>
      <xdr:rowOff>133350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0975"/>
          <a:ext cx="10696575" cy="1460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</xdr:row>
      <xdr:rowOff>9525</xdr:rowOff>
    </xdr:from>
    <xdr:to>
      <xdr:col>18</xdr:col>
      <xdr:colOff>552450</xdr:colOff>
      <xdr:row>90</xdr:row>
      <xdr:rowOff>66675</xdr:rowOff>
    </xdr:to>
    <xdr:pic>
      <xdr:nvPicPr>
        <xdr:cNvPr id="3" name="Picture 3" descr="C:\Documents and Settings\narnia_EU\Desktop\Compendium cover pages 2011\12 Tourism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1450"/>
          <a:ext cx="10677525" cy="1454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19049</xdr:rowOff>
        </xdr:from>
        <xdr:to>
          <xdr:col>1</xdr:col>
          <xdr:colOff>504824</xdr:colOff>
          <xdr:row>3</xdr:row>
          <xdr:rowOff>57150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28574</xdr:colOff>
          <xdr:row>0</xdr:row>
          <xdr:rowOff>9525</xdr:rowOff>
        </xdr:from>
        <xdr:to>
          <xdr:col>1</xdr:col>
          <xdr:colOff>510019</xdr:colOff>
          <xdr:row>3</xdr:row>
          <xdr:rowOff>95250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485775</xdr:colOff>
          <xdr:row>4</xdr:row>
          <xdr:rowOff>68090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2</xdr:col>
          <xdr:colOff>31073</xdr:colOff>
          <xdr:row>3</xdr:row>
          <xdr:rowOff>161925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552450</xdr:colOff>
          <xdr:row>3</xdr:row>
          <xdr:rowOff>114300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104775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seph_eu\AppData\Local\Microsoft\Windows\Temporary%20Internet%20Files\Content.Outlook\C5EZ38W1\Copy%20of%20Compendium%20of%20Statistics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01"/>
      <sheetName val=".02"/>
      <sheetName val=".03"/>
      <sheetName val=".04new"/>
      <sheetName val=".05n"/>
      <sheetName val=".06"/>
    </sheetNames>
    <sheetDataSet>
      <sheetData sheetId="0" refreshError="1"/>
      <sheetData sheetId="1">
        <row r="20">
          <cell r="AJ20" t="str">
            <v>U.S.A.</v>
          </cell>
        </row>
        <row r="21">
          <cell r="AJ21" t="str">
            <v>Canada</v>
          </cell>
        </row>
        <row r="22">
          <cell r="AJ22" t="str">
            <v>Europe</v>
          </cell>
        </row>
        <row r="23">
          <cell r="AJ23" t="str">
            <v>Rest of World</v>
          </cell>
        </row>
        <row r="40">
          <cell r="AN40">
            <v>75.23510971786834</v>
          </cell>
        </row>
        <row r="41">
          <cell r="AN41">
            <v>6.5047021943573675</v>
          </cell>
        </row>
        <row r="42">
          <cell r="AN42">
            <v>9.5088819226750267</v>
          </cell>
        </row>
        <row r="43">
          <cell r="AN43">
            <v>8.751306165099269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92"/>
  <sheetViews>
    <sheetView view="pageBreakPreview" zoomScale="50" zoomScaleNormal="100" workbookViewId="0">
      <selection activeCell="G70" sqref="G70"/>
    </sheetView>
  </sheetViews>
  <sheetFormatPr defaultRowHeight="12.75" x14ac:dyDescent="0.2"/>
  <cols>
    <col min="4" max="4" width="8.140625" customWidth="1"/>
    <col min="5" max="5" width="7.5703125" customWidth="1"/>
    <col min="6" max="6" width="7.28515625" customWidth="1"/>
    <col min="9" max="9" width="12.140625" customWidth="1"/>
    <col min="10" max="10" width="12.42578125" customWidth="1"/>
    <col min="11" max="11" width="13.7109375" customWidth="1"/>
  </cols>
  <sheetData>
    <row r="2" spans="3:20" x14ac:dyDescent="0.2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3:20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3:20" x14ac:dyDescent="0.2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3:20" x14ac:dyDescent="0.2">
      <c r="C5" s="1"/>
      <c r="D5" s="1"/>
      <c r="E5" s="1"/>
      <c r="F5" s="1"/>
      <c r="G5" s="1"/>
      <c r="H5" s="2"/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</row>
    <row r="6" spans="3:20" s="4" customFormat="1" ht="9" customHeight="1" x14ac:dyDescent="0.2"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3:20" x14ac:dyDescent="0.2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3:20" x14ac:dyDescent="0.2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3:20" ht="18.75" x14ac:dyDescent="0.3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5" t="s">
        <v>0</v>
      </c>
      <c r="S9" s="1"/>
      <c r="T9" s="1"/>
    </row>
    <row r="10" spans="3:20" ht="20.25" x14ac:dyDescent="0.3">
      <c r="C10" s="1"/>
      <c r="D10" s="6"/>
      <c r="E10" s="1"/>
      <c r="F10" s="1"/>
      <c r="G10" s="7">
        <v>14</v>
      </c>
      <c r="H10" s="171" t="s">
        <v>1</v>
      </c>
      <c r="I10" s="171"/>
      <c r="J10" s="6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3:20" x14ac:dyDescent="0.2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3:20" x14ac:dyDescent="0.2"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3:20" x14ac:dyDescent="0.2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3:20" x14ac:dyDescent="0.2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3:20" x14ac:dyDescent="0.2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3:20" x14ac:dyDescent="0.2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3:20" x14ac:dyDescent="0.2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3:20" x14ac:dyDescent="0.2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3:20" x14ac:dyDescent="0.2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3:20" x14ac:dyDescent="0.2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3:20" x14ac:dyDescent="0.2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3:20" x14ac:dyDescent="0.2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3:20" x14ac:dyDescent="0.2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3:20" x14ac:dyDescent="0.2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3:20" x14ac:dyDescent="0.2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3:20" x14ac:dyDescent="0.2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3:20" x14ac:dyDescent="0.2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3:20" x14ac:dyDescent="0.2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3:20" x14ac:dyDescent="0.2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3:20" x14ac:dyDescent="0.2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3:20" x14ac:dyDescent="0.2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3:20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3:2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3:2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3:2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3:2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3:2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3:2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3:2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3:2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3:2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3:2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3:2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3:20" x14ac:dyDescent="0.2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3:20" x14ac:dyDescent="0.2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3:20" x14ac:dyDescent="0.2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3:20" x14ac:dyDescent="0.2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3:20" x14ac:dyDescent="0.2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3:20" x14ac:dyDescent="0.2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3:20" x14ac:dyDescent="0.2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3:20" x14ac:dyDescent="0.2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3:20" x14ac:dyDescent="0.2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3:20" x14ac:dyDescent="0.2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3:20" x14ac:dyDescent="0.2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3:20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3:20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3:20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3:20" s="4" customFormat="1" ht="9" customHeight="1" x14ac:dyDescent="0.2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</row>
    <row r="59" spans="3:20" x14ac:dyDescent="0.2">
      <c r="C59" s="172">
        <v>100</v>
      </c>
      <c r="D59" s="172"/>
      <c r="E59" s="172"/>
      <c r="F59" s="172"/>
      <c r="G59" s="172"/>
      <c r="H59" s="172"/>
      <c r="I59" s="172"/>
      <c r="J59" s="172"/>
      <c r="K59" s="172"/>
      <c r="L59" s="1"/>
      <c r="M59" s="1"/>
      <c r="N59" s="1"/>
      <c r="O59" s="1"/>
      <c r="P59" s="1"/>
      <c r="Q59" s="1"/>
      <c r="R59" s="1"/>
      <c r="S59" s="1"/>
      <c r="T59" s="1"/>
    </row>
    <row r="60" spans="3:20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3:20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3:20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3:20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3:20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3:20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3:20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3:20" x14ac:dyDescent="0.2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3:20" x14ac:dyDescent="0.2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3:20" x14ac:dyDescent="0.2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3:20" x14ac:dyDescent="0.2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3:20" x14ac:dyDescent="0.2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3:20" x14ac:dyDescent="0.2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3:20" x14ac:dyDescent="0.2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3:20" x14ac:dyDescent="0.2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3:20" x14ac:dyDescent="0.2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3:20" x14ac:dyDescent="0.2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3:20" x14ac:dyDescent="0.2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3:20" x14ac:dyDescent="0.2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3:20" x14ac:dyDescent="0.2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3:20" x14ac:dyDescent="0.2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3:20" x14ac:dyDescent="0.2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3:20" x14ac:dyDescent="0.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3:20" x14ac:dyDescent="0.2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3:20" x14ac:dyDescent="0.2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3:20" x14ac:dyDescent="0.2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3:20" x14ac:dyDescent="0.2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3:20" x14ac:dyDescent="0.2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3:20" x14ac:dyDescent="0.2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3:20" x14ac:dyDescent="0.2">
      <c r="C89" s="1"/>
      <c r="D89" s="1"/>
      <c r="E89" s="1"/>
      <c r="F89" s="1"/>
      <c r="G89" s="172">
        <v>100</v>
      </c>
      <c r="H89" s="172"/>
      <c r="I89" s="172"/>
      <c r="J89" s="172"/>
      <c r="K89" s="172"/>
      <c r="L89" s="172"/>
      <c r="M89" s="172"/>
      <c r="N89" s="172"/>
      <c r="O89" s="172"/>
      <c r="P89" s="1"/>
      <c r="Q89" s="1"/>
      <c r="R89" s="1"/>
      <c r="S89" s="1"/>
      <c r="T89" s="1"/>
    </row>
    <row r="90" spans="3:20" x14ac:dyDescent="0.2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3:20" x14ac:dyDescent="0.2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3:20" x14ac:dyDescent="0.2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</sheetData>
  <mergeCells count="3">
    <mergeCell ref="H10:I10"/>
    <mergeCell ref="C59:K59"/>
    <mergeCell ref="G89:O89"/>
  </mergeCells>
  <printOptions horizontalCentered="1"/>
  <pageMargins left="1" right="1" top="1" bottom="1" header="0.5" footer="0.24"/>
  <pageSetup scale="52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AA90"/>
  <sheetViews>
    <sheetView tabSelected="1" zoomScaleNormal="100" zoomScaleSheetLayoutView="100" workbookViewId="0">
      <pane xSplit="3" ySplit="10" topLeftCell="D11" activePane="bottomRight" state="frozen"/>
      <selection activeCell="X28" sqref="X28"/>
      <selection pane="topRight" activeCell="X28" sqref="X28"/>
      <selection pane="bottomLeft" activeCell="X28" sqref="X28"/>
      <selection pane="bottomRight" activeCell="A6" sqref="A6"/>
    </sheetView>
  </sheetViews>
  <sheetFormatPr defaultRowHeight="12.75" x14ac:dyDescent="0.2"/>
  <cols>
    <col min="1" max="1" width="9.140625" style="4"/>
    <col min="2" max="2" width="8.28515625" style="4" customWidth="1"/>
    <col min="3" max="3" width="6.28515625" style="4" customWidth="1"/>
    <col min="4" max="4" width="12.5703125" style="4" customWidth="1"/>
    <col min="5" max="5" width="12" style="4" customWidth="1"/>
    <col min="6" max="6" width="12.42578125" style="4" customWidth="1"/>
    <col min="7" max="7" width="12.7109375" style="4" customWidth="1"/>
    <col min="8" max="8" width="9.7109375" style="4" customWidth="1"/>
    <col min="9" max="9" width="9" style="4" customWidth="1"/>
    <col min="10" max="10" width="9.140625" style="4"/>
    <col min="11" max="11" width="11.28515625" style="4" bestFit="1" customWidth="1"/>
    <col min="12" max="12" width="10.85546875" style="4" hidden="1" customWidth="1"/>
    <col min="13" max="16" width="0" style="4" hidden="1" customWidth="1"/>
    <col min="17" max="17" width="9.28515625" style="4" hidden="1" customWidth="1"/>
    <col min="18" max="20" width="0" style="4" hidden="1" customWidth="1"/>
    <col min="21" max="16384" width="9.140625" style="4"/>
  </cols>
  <sheetData>
    <row r="4" spans="2:10" ht="9" customHeight="1" x14ac:dyDescent="0.2"/>
    <row r="6" spans="2:10" ht="15.75" x14ac:dyDescent="0.25">
      <c r="B6" s="157"/>
      <c r="C6" s="179" t="s">
        <v>107</v>
      </c>
      <c r="D6" s="179"/>
      <c r="E6" s="179"/>
      <c r="F6" s="179"/>
      <c r="G6" s="179"/>
      <c r="H6" s="179"/>
      <c r="I6" s="179"/>
    </row>
    <row r="8" spans="2:10" x14ac:dyDescent="0.2">
      <c r="D8" s="72"/>
    </row>
    <row r="9" spans="2:10" x14ac:dyDescent="0.2">
      <c r="C9" s="110"/>
      <c r="D9" s="183" t="s">
        <v>2</v>
      </c>
      <c r="E9" s="184"/>
      <c r="F9" s="183" t="s">
        <v>3</v>
      </c>
      <c r="G9" s="183"/>
      <c r="H9" s="183"/>
      <c r="I9" s="173" t="s">
        <v>4</v>
      </c>
      <c r="J9" s="174"/>
    </row>
    <row r="10" spans="2:10" ht="25.5" x14ac:dyDescent="0.2">
      <c r="C10" s="185" t="s">
        <v>5</v>
      </c>
      <c r="D10" s="186" t="s">
        <v>6</v>
      </c>
      <c r="E10" s="187" t="s">
        <v>7</v>
      </c>
      <c r="F10" s="185" t="s">
        <v>8</v>
      </c>
      <c r="G10" s="186" t="s">
        <v>9</v>
      </c>
      <c r="H10" s="185" t="s">
        <v>7</v>
      </c>
      <c r="I10" s="188" t="s">
        <v>9</v>
      </c>
      <c r="J10" s="185" t="s">
        <v>7</v>
      </c>
    </row>
    <row r="11" spans="2:10" x14ac:dyDescent="0.2">
      <c r="C11" s="59"/>
      <c r="D11" s="3"/>
      <c r="E11" s="55"/>
      <c r="I11" s="54"/>
      <c r="J11" s="3"/>
    </row>
    <row r="12" spans="2:10" x14ac:dyDescent="0.2">
      <c r="C12" s="59">
        <v>1970</v>
      </c>
      <c r="D12" s="99">
        <v>22.890999999999998</v>
      </c>
      <c r="E12" s="189" t="s">
        <v>10</v>
      </c>
      <c r="F12" s="190" t="s">
        <v>10</v>
      </c>
      <c r="G12" s="69" t="s">
        <v>10</v>
      </c>
      <c r="H12" s="59" t="s">
        <v>10</v>
      </c>
      <c r="I12" s="54"/>
      <c r="J12" s="3"/>
    </row>
    <row r="13" spans="2:10" x14ac:dyDescent="0.2">
      <c r="C13" s="59">
        <v>1971</v>
      </c>
      <c r="D13" s="99">
        <v>24.353999999999999</v>
      </c>
      <c r="E13" s="41">
        <f t="shared" ref="E13:E22" si="0">(D13/D12-1)*100</f>
        <v>6.3911580970687165</v>
      </c>
      <c r="F13" s="190" t="s">
        <v>10</v>
      </c>
      <c r="G13" s="69">
        <v>0.90800000000000003</v>
      </c>
      <c r="H13" s="59" t="s">
        <v>10</v>
      </c>
      <c r="I13" s="54"/>
      <c r="J13" s="3"/>
    </row>
    <row r="14" spans="2:10" x14ac:dyDescent="0.2">
      <c r="C14" s="59">
        <v>1972</v>
      </c>
      <c r="D14" s="99">
        <v>30.646000000000001</v>
      </c>
      <c r="E14" s="41">
        <f t="shared" si="0"/>
        <v>25.835591689250226</v>
      </c>
      <c r="F14" s="190">
        <v>5</v>
      </c>
      <c r="G14" s="69">
        <v>1.014</v>
      </c>
      <c r="H14" s="56">
        <f t="shared" ref="H14:H37" si="1">(G14/G13-1)*100</f>
        <v>11.674008810572678</v>
      </c>
      <c r="I14" s="54"/>
      <c r="J14" s="3"/>
    </row>
    <row r="15" spans="2:10" x14ac:dyDescent="0.2">
      <c r="C15" s="59">
        <v>1973</v>
      </c>
      <c r="D15" s="99">
        <v>45.750999999999998</v>
      </c>
      <c r="E15" s="41">
        <f t="shared" si="0"/>
        <v>49.288651047445001</v>
      </c>
      <c r="F15" s="190">
        <v>7</v>
      </c>
      <c r="G15" s="69">
        <v>0.97099999999999997</v>
      </c>
      <c r="H15" s="56">
        <f t="shared" si="1"/>
        <v>-4.2406311637080858</v>
      </c>
      <c r="I15" s="54"/>
      <c r="J15" s="3"/>
    </row>
    <row r="16" spans="2:10" x14ac:dyDescent="0.2">
      <c r="C16" s="59">
        <v>1974</v>
      </c>
      <c r="D16" s="99">
        <v>53.103999999999999</v>
      </c>
      <c r="E16" s="41">
        <f t="shared" si="0"/>
        <v>16.071779851806522</v>
      </c>
      <c r="F16" s="190">
        <v>8</v>
      </c>
      <c r="G16" s="69">
        <v>2.5129999999999999</v>
      </c>
      <c r="H16" s="56">
        <f t="shared" si="1"/>
        <v>158.8053553038105</v>
      </c>
      <c r="I16" s="54"/>
      <c r="J16" s="3"/>
    </row>
    <row r="17" spans="3:10" x14ac:dyDescent="0.2">
      <c r="C17" s="59">
        <v>1975</v>
      </c>
      <c r="D17" s="99">
        <v>54.145000000000003</v>
      </c>
      <c r="E17" s="41">
        <f t="shared" si="0"/>
        <v>1.9603043085266725</v>
      </c>
      <c r="F17" s="190">
        <v>33</v>
      </c>
      <c r="G17" s="69">
        <v>22.451000000000001</v>
      </c>
      <c r="H17" s="56">
        <f t="shared" si="1"/>
        <v>793.39434938320733</v>
      </c>
      <c r="I17" s="54"/>
      <c r="J17" s="3"/>
    </row>
    <row r="18" spans="3:10" x14ac:dyDescent="0.2">
      <c r="C18" s="59">
        <v>1976</v>
      </c>
      <c r="D18" s="99">
        <v>64.875</v>
      </c>
      <c r="E18" s="41">
        <f t="shared" si="0"/>
        <v>19.817157632283667</v>
      </c>
      <c r="F18" s="190">
        <v>66</v>
      </c>
      <c r="G18" s="69">
        <v>40.618000000000002</v>
      </c>
      <c r="H18" s="56">
        <f t="shared" si="1"/>
        <v>80.918444612712136</v>
      </c>
      <c r="I18" s="54"/>
      <c r="J18" s="3"/>
    </row>
    <row r="19" spans="3:10" x14ac:dyDescent="0.2">
      <c r="C19" s="59">
        <v>1977</v>
      </c>
      <c r="D19" s="99">
        <v>67.197000000000003</v>
      </c>
      <c r="E19" s="41">
        <f t="shared" si="0"/>
        <v>3.5791907514450827</v>
      </c>
      <c r="F19" s="190">
        <v>77</v>
      </c>
      <c r="G19" s="69">
        <v>42.426000000000002</v>
      </c>
      <c r="H19" s="56">
        <f t="shared" si="1"/>
        <v>4.4512285193756496</v>
      </c>
      <c r="I19" s="54"/>
      <c r="J19" s="3"/>
    </row>
    <row r="20" spans="3:10" x14ac:dyDescent="0.2">
      <c r="C20" s="59">
        <v>1978</v>
      </c>
      <c r="D20" s="99">
        <v>77.402000000000001</v>
      </c>
      <c r="E20" s="41">
        <f t="shared" si="0"/>
        <v>15.186689881988769</v>
      </c>
      <c r="F20" s="190">
        <v>70</v>
      </c>
      <c r="G20" s="69">
        <v>45.052</v>
      </c>
      <c r="H20" s="56">
        <f t="shared" si="1"/>
        <v>6.1896007165417322</v>
      </c>
      <c r="I20" s="54"/>
      <c r="J20" s="3"/>
    </row>
    <row r="21" spans="3:10" x14ac:dyDescent="0.2">
      <c r="C21" s="59">
        <v>1979</v>
      </c>
      <c r="D21" s="99">
        <v>100.587</v>
      </c>
      <c r="E21" s="41">
        <f t="shared" si="0"/>
        <v>29.954006356424912</v>
      </c>
      <c r="F21" s="190">
        <v>98</v>
      </c>
      <c r="G21" s="69">
        <v>59.03</v>
      </c>
      <c r="H21" s="56">
        <f t="shared" si="1"/>
        <v>31.026369528544805</v>
      </c>
      <c r="I21" s="54"/>
      <c r="J21" s="3"/>
    </row>
    <row r="22" spans="3:10" x14ac:dyDescent="0.2">
      <c r="C22" s="59">
        <v>1980</v>
      </c>
      <c r="D22" s="99">
        <v>120.241</v>
      </c>
      <c r="E22" s="41">
        <f t="shared" si="0"/>
        <v>19.539304283853774</v>
      </c>
      <c r="F22" s="190">
        <v>116</v>
      </c>
      <c r="G22" s="69">
        <v>60.869</v>
      </c>
      <c r="H22" s="56">
        <f t="shared" si="1"/>
        <v>3.1153650686091883</v>
      </c>
      <c r="I22" s="54"/>
      <c r="J22" s="3"/>
    </row>
    <row r="23" spans="3:10" x14ac:dyDescent="0.2">
      <c r="C23" s="59">
        <v>1981</v>
      </c>
      <c r="D23" s="99">
        <v>124.598</v>
      </c>
      <c r="E23" s="41">
        <f>(D23/D22-1)*100</f>
        <v>3.6235560249831655</v>
      </c>
      <c r="F23" s="190">
        <v>126</v>
      </c>
      <c r="G23" s="69">
        <v>78.013000000000005</v>
      </c>
      <c r="H23" s="56">
        <f t="shared" si="1"/>
        <v>28.165404393040806</v>
      </c>
      <c r="I23" s="54"/>
      <c r="J23" s="3"/>
    </row>
    <row r="24" spans="3:10" x14ac:dyDescent="0.2">
      <c r="C24" s="59">
        <v>1982</v>
      </c>
      <c r="D24" s="99">
        <v>121.2</v>
      </c>
      <c r="E24" s="41">
        <f t="shared" ref="E24:E37" si="2">(D24/D23-1)*100</f>
        <v>-2.7271705805871682</v>
      </c>
      <c r="F24" s="190">
        <v>179</v>
      </c>
      <c r="G24" s="69">
        <v>158.285</v>
      </c>
      <c r="H24" s="56">
        <f t="shared" si="1"/>
        <v>102.89567123428145</v>
      </c>
      <c r="I24" s="54"/>
      <c r="J24" s="3"/>
    </row>
    <row r="25" spans="3:10" x14ac:dyDescent="0.2">
      <c r="C25" s="59">
        <v>1983</v>
      </c>
      <c r="D25" s="99">
        <v>130.76300000000001</v>
      </c>
      <c r="E25" s="41">
        <f t="shared" si="2"/>
        <v>7.8902640264026491</v>
      </c>
      <c r="F25" s="190">
        <v>221</v>
      </c>
      <c r="G25" s="69">
        <v>177.215</v>
      </c>
      <c r="H25" s="56">
        <f t="shared" si="1"/>
        <v>11.959440250181629</v>
      </c>
      <c r="I25" s="54"/>
      <c r="J25" s="3"/>
    </row>
    <row r="26" spans="3:10" x14ac:dyDescent="0.2">
      <c r="C26" s="59">
        <v>1984</v>
      </c>
      <c r="D26" s="99">
        <v>148.48500000000001</v>
      </c>
      <c r="E26" s="41">
        <f t="shared" si="2"/>
        <v>13.552763396373591</v>
      </c>
      <c r="F26" s="190">
        <v>250</v>
      </c>
      <c r="G26" s="69">
        <v>203.583</v>
      </c>
      <c r="H26" s="56">
        <f t="shared" si="1"/>
        <v>14.879101656180339</v>
      </c>
      <c r="I26" s="54"/>
      <c r="J26" s="3"/>
    </row>
    <row r="27" spans="3:10" x14ac:dyDescent="0.2">
      <c r="C27" s="59">
        <v>1985</v>
      </c>
      <c r="D27" s="99">
        <v>145.072</v>
      </c>
      <c r="E27" s="41">
        <f t="shared" si="2"/>
        <v>-2.2985486749503403</v>
      </c>
      <c r="F27" s="190">
        <v>263</v>
      </c>
      <c r="G27" s="69">
        <v>258.67399999999998</v>
      </c>
      <c r="H27" s="56">
        <f t="shared" si="1"/>
        <v>27.060707426455053</v>
      </c>
      <c r="I27" s="54"/>
      <c r="J27" s="3"/>
    </row>
    <row r="28" spans="3:10" x14ac:dyDescent="0.2">
      <c r="C28" s="59">
        <v>1986</v>
      </c>
      <c r="D28" s="99">
        <v>166.08199999999999</v>
      </c>
      <c r="E28" s="41">
        <f t="shared" si="2"/>
        <v>14.482463880004403</v>
      </c>
      <c r="F28" s="190">
        <v>323</v>
      </c>
      <c r="G28" s="69">
        <v>270.94900000000001</v>
      </c>
      <c r="H28" s="56">
        <f t="shared" si="1"/>
        <v>4.7453551574568875</v>
      </c>
      <c r="I28" s="54"/>
      <c r="J28" s="3"/>
    </row>
    <row r="29" spans="3:10" x14ac:dyDescent="0.2">
      <c r="C29" s="59">
        <v>1987</v>
      </c>
      <c r="D29" s="99">
        <v>209</v>
      </c>
      <c r="E29" s="41">
        <f t="shared" si="2"/>
        <v>25.841451812959871</v>
      </c>
      <c r="F29" s="190">
        <v>277</v>
      </c>
      <c r="G29" s="69">
        <v>271.7</v>
      </c>
      <c r="H29" s="56">
        <f t="shared" si="1"/>
        <v>0.27717393310178196</v>
      </c>
      <c r="I29" s="54"/>
      <c r="J29" s="3"/>
    </row>
    <row r="30" spans="3:10" x14ac:dyDescent="0.2">
      <c r="C30" s="59">
        <v>1988</v>
      </c>
      <c r="D30" s="99">
        <v>218.7</v>
      </c>
      <c r="E30" s="41">
        <f t="shared" si="2"/>
        <v>4.6411483253588459</v>
      </c>
      <c r="F30" s="190">
        <v>286</v>
      </c>
      <c r="G30" s="69">
        <v>315.60000000000002</v>
      </c>
      <c r="H30" s="56">
        <f t="shared" si="1"/>
        <v>16.157526683842494</v>
      </c>
      <c r="I30" s="54"/>
      <c r="J30" s="3"/>
    </row>
    <row r="31" spans="3:10" x14ac:dyDescent="0.2">
      <c r="C31" s="59">
        <v>1989</v>
      </c>
      <c r="D31" s="99">
        <v>209.8</v>
      </c>
      <c r="E31" s="41">
        <f t="shared" si="2"/>
        <v>-4.069501600365788</v>
      </c>
      <c r="F31" s="190">
        <v>333</v>
      </c>
      <c r="G31" s="69">
        <v>403.9</v>
      </c>
      <c r="H31" s="56">
        <f t="shared" si="1"/>
        <v>27.978453738909991</v>
      </c>
      <c r="I31" s="54"/>
      <c r="J31" s="3"/>
    </row>
    <row r="32" spans="3:10" x14ac:dyDescent="0.2">
      <c r="C32" s="59">
        <v>1990</v>
      </c>
      <c r="D32" s="99">
        <v>253.2</v>
      </c>
      <c r="E32" s="41">
        <f t="shared" si="2"/>
        <v>20.686367969494746</v>
      </c>
      <c r="F32" s="190">
        <v>294</v>
      </c>
      <c r="G32" s="69">
        <v>361.7</v>
      </c>
      <c r="H32" s="56">
        <f t="shared" si="1"/>
        <v>-10.448130725427085</v>
      </c>
      <c r="I32" s="54"/>
      <c r="J32" s="3"/>
    </row>
    <row r="33" spans="2:27" x14ac:dyDescent="0.2">
      <c r="C33" s="59">
        <v>1991</v>
      </c>
      <c r="D33" s="99">
        <v>237.4</v>
      </c>
      <c r="E33" s="41">
        <f t="shared" si="2"/>
        <v>-6.2401263823064657</v>
      </c>
      <c r="F33" s="190">
        <v>420</v>
      </c>
      <c r="G33" s="69">
        <v>474.7</v>
      </c>
      <c r="H33" s="56">
        <f t="shared" si="1"/>
        <v>31.241360243295556</v>
      </c>
      <c r="I33" s="54"/>
      <c r="J33" s="3"/>
    </row>
    <row r="34" spans="2:27" x14ac:dyDescent="0.2">
      <c r="C34" s="59">
        <v>1992</v>
      </c>
      <c r="D34" s="99">
        <v>241.8</v>
      </c>
      <c r="E34" s="41">
        <f t="shared" si="2"/>
        <v>1.8534119629317614</v>
      </c>
      <c r="F34" s="190">
        <v>487</v>
      </c>
      <c r="G34" s="69">
        <v>613.5</v>
      </c>
      <c r="H34" s="56">
        <f t="shared" si="1"/>
        <v>29.239519696650529</v>
      </c>
      <c r="I34" s="54"/>
      <c r="J34" s="3"/>
    </row>
    <row r="35" spans="2:27" x14ac:dyDescent="0.2">
      <c r="C35" s="59">
        <v>1993</v>
      </c>
      <c r="D35" s="99">
        <v>287.3</v>
      </c>
      <c r="E35" s="41">
        <f t="shared" si="2"/>
        <v>18.817204301075275</v>
      </c>
      <c r="F35" s="190">
        <v>447</v>
      </c>
      <c r="G35" s="69">
        <v>605.70000000000005</v>
      </c>
      <c r="H35" s="56">
        <f t="shared" si="1"/>
        <v>-1.2713936430317818</v>
      </c>
      <c r="I35" s="54"/>
      <c r="J35" s="3"/>
    </row>
    <row r="36" spans="2:27" x14ac:dyDescent="0.2">
      <c r="C36" s="59">
        <v>1994</v>
      </c>
      <c r="D36" s="99">
        <v>341.5</v>
      </c>
      <c r="E36" s="41">
        <f t="shared" si="2"/>
        <v>18.865297598329267</v>
      </c>
      <c r="F36" s="190">
        <v>465</v>
      </c>
      <c r="G36" s="69">
        <v>599.4</v>
      </c>
      <c r="H36" s="56">
        <f t="shared" si="1"/>
        <v>-1.0401188707280906</v>
      </c>
      <c r="I36" s="54"/>
      <c r="J36" s="3"/>
    </row>
    <row r="37" spans="2:27" x14ac:dyDescent="0.2">
      <c r="C37" s="59">
        <v>1995</v>
      </c>
      <c r="D37" s="99">
        <v>361.4</v>
      </c>
      <c r="E37" s="41">
        <f t="shared" si="2"/>
        <v>5.8272327964860926</v>
      </c>
      <c r="F37" s="190">
        <v>504</v>
      </c>
      <c r="G37" s="69">
        <v>682.8</v>
      </c>
      <c r="H37" s="56">
        <f t="shared" si="1"/>
        <v>13.9139139139139</v>
      </c>
      <c r="I37" s="54"/>
      <c r="J37" s="3"/>
    </row>
    <row r="38" spans="2:27" ht="9" customHeight="1" x14ac:dyDescent="0.2">
      <c r="C38" s="59"/>
      <c r="D38" s="99"/>
      <c r="E38" s="41"/>
      <c r="F38" s="190"/>
      <c r="G38" s="69"/>
      <c r="H38" s="56"/>
      <c r="I38" s="191" t="s">
        <v>11</v>
      </c>
      <c r="J38" s="3"/>
    </row>
    <row r="39" spans="2:27" x14ac:dyDescent="0.2">
      <c r="C39" s="59">
        <v>1996</v>
      </c>
      <c r="D39" s="9">
        <v>373.2</v>
      </c>
      <c r="E39" s="192">
        <f>(D39/D37-1)*100</f>
        <v>3.2650802434975201</v>
      </c>
      <c r="F39" s="190">
        <v>528</v>
      </c>
      <c r="G39" s="193">
        <v>800.3</v>
      </c>
      <c r="H39" s="193">
        <f>(G39/G37-1)*100</f>
        <v>17.208553016988869</v>
      </c>
      <c r="I39" s="194">
        <f>SUM(D39)+G39</f>
        <v>1173.5</v>
      </c>
      <c r="J39" s="3"/>
    </row>
    <row r="40" spans="2:27" x14ac:dyDescent="0.2">
      <c r="C40" s="59">
        <v>1997</v>
      </c>
      <c r="D40" s="9">
        <v>381.2</v>
      </c>
      <c r="E40" s="192">
        <f t="shared" ref="E40:E49" si="3">(D40/D39-1)*100</f>
        <v>2.1436227224008508</v>
      </c>
      <c r="F40" s="190">
        <v>572</v>
      </c>
      <c r="G40" s="193">
        <v>866.6</v>
      </c>
      <c r="H40" s="193">
        <f>(G40/G39-1)*100</f>
        <v>8.2843933524928239</v>
      </c>
      <c r="I40" s="194">
        <f t="shared" ref="I40:I59" si="4">SUM(D40)+G40</f>
        <v>1247.8</v>
      </c>
      <c r="J40" s="75">
        <f>(I40/I39-1)*100</f>
        <v>6.3314870046868199</v>
      </c>
    </row>
    <row r="41" spans="2:27" x14ac:dyDescent="0.2">
      <c r="C41" s="195">
        <v>1998</v>
      </c>
      <c r="D41" s="9">
        <v>404.20499999999998</v>
      </c>
      <c r="E41" s="192">
        <f t="shared" si="3"/>
        <v>6.0348898216159519</v>
      </c>
      <c r="F41" s="196">
        <v>518</v>
      </c>
      <c r="G41" s="193">
        <v>871.4</v>
      </c>
      <c r="H41" s="193">
        <f>(G41/G40-1)*100</f>
        <v>0.55388876067388182</v>
      </c>
      <c r="I41" s="194">
        <f t="shared" si="4"/>
        <v>1275.605</v>
      </c>
      <c r="J41" s="75">
        <f>(I41/I40-1)*100</f>
        <v>2.2283218464497656</v>
      </c>
      <c r="M41" s="193"/>
      <c r="N41" s="193"/>
      <c r="O41" s="193"/>
    </row>
    <row r="42" spans="2:27" x14ac:dyDescent="0.2">
      <c r="B42" s="3"/>
      <c r="C42" s="195">
        <v>1999</v>
      </c>
      <c r="D42" s="9">
        <v>394.7</v>
      </c>
      <c r="E42" s="192">
        <f t="shared" si="3"/>
        <v>-2.351529545651343</v>
      </c>
      <c r="F42" s="196">
        <v>638</v>
      </c>
      <c r="G42" s="9">
        <v>1035.5</v>
      </c>
      <c r="H42" s="9">
        <f t="shared" ref="H42:H47" si="5">(G42/G41-1)*100</f>
        <v>18.831764975900846</v>
      </c>
      <c r="I42" s="194">
        <f t="shared" si="4"/>
        <v>1430.2</v>
      </c>
      <c r="J42" s="75">
        <f>(I42/I41-1)*100</f>
        <v>12.119347290109395</v>
      </c>
      <c r="M42" s="193"/>
      <c r="N42" s="9"/>
      <c r="O42" s="9"/>
    </row>
    <row r="43" spans="2:27" x14ac:dyDescent="0.2">
      <c r="B43" s="3"/>
      <c r="C43" s="195">
        <v>2000</v>
      </c>
      <c r="D43" s="9">
        <f>354087/1000</f>
        <v>354.08699999999999</v>
      </c>
      <c r="E43" s="192">
        <f t="shared" si="3"/>
        <v>-10.289587028122627</v>
      </c>
      <c r="F43" s="196">
        <v>612</v>
      </c>
      <c r="G43" s="193">
        <f>1030857/1000</f>
        <v>1030.857</v>
      </c>
      <c r="H43" s="9">
        <f t="shared" si="5"/>
        <v>-0.44838242394978911</v>
      </c>
      <c r="I43" s="194">
        <f t="shared" si="4"/>
        <v>1384.944</v>
      </c>
      <c r="J43" s="197">
        <f>(I43/I42-1)*100</f>
        <v>-3.1643126835407709</v>
      </c>
      <c r="M43" s="193"/>
      <c r="N43" s="193"/>
      <c r="O43" s="193"/>
    </row>
    <row r="44" spans="2:27" x14ac:dyDescent="0.2">
      <c r="B44" s="3"/>
      <c r="C44" s="195"/>
      <c r="D44" s="198"/>
      <c r="E44" s="192"/>
      <c r="F44" s="196"/>
      <c r="G44" s="199"/>
      <c r="H44" s="9"/>
      <c r="I44" s="194"/>
      <c r="J44" s="75"/>
      <c r="M44" s="193"/>
      <c r="N44" s="200"/>
      <c r="O44" s="201"/>
    </row>
    <row r="45" spans="2:27" x14ac:dyDescent="0.2">
      <c r="B45" s="3"/>
      <c r="C45" s="202">
        <v>2001</v>
      </c>
      <c r="D45" s="9">
        <v>334.00200000000001</v>
      </c>
      <c r="E45" s="192">
        <f>(D45/D43-1)*100</f>
        <v>-5.6723347651848162</v>
      </c>
      <c r="F45" s="196">
        <v>617</v>
      </c>
      <c r="G45" s="193">
        <f>1214757/1000</f>
        <v>1214.7570000000001</v>
      </c>
      <c r="H45" s="9">
        <f>(G45/G43-1)*100</f>
        <v>17.839525753814556</v>
      </c>
      <c r="I45" s="194">
        <f t="shared" si="4"/>
        <v>1548.759</v>
      </c>
      <c r="J45" s="75">
        <f>(I45/I43-1)*100</f>
        <v>11.828276089141522</v>
      </c>
      <c r="M45" s="193"/>
      <c r="N45" s="193"/>
      <c r="O45" s="193"/>
    </row>
    <row r="46" spans="2:27" x14ac:dyDescent="0.2">
      <c r="B46" s="3"/>
      <c r="C46" s="202">
        <v>2002</v>
      </c>
      <c r="D46" s="9">
        <v>302.70100000000002</v>
      </c>
      <c r="E46" s="192">
        <f t="shared" si="3"/>
        <v>-9.371500769456464</v>
      </c>
      <c r="F46" s="196">
        <v>732</v>
      </c>
      <c r="G46" s="193">
        <f>1574750/1000</f>
        <v>1574.75</v>
      </c>
      <c r="H46" s="9">
        <f t="shared" si="5"/>
        <v>29.634980494041187</v>
      </c>
      <c r="I46" s="194">
        <f t="shared" si="4"/>
        <v>1877.451</v>
      </c>
      <c r="J46" s="75">
        <f t="shared" ref="J46:J61" si="6">(I46/I45-1)*100</f>
        <v>21.222927518096757</v>
      </c>
      <c r="M46" s="193"/>
      <c r="N46" s="193"/>
      <c r="O46" s="193"/>
    </row>
    <row r="47" spans="2:27" x14ac:dyDescent="0.2">
      <c r="B47" s="3"/>
      <c r="C47" s="202">
        <v>2003</v>
      </c>
      <c r="D47" s="9">
        <v>293.41399999999999</v>
      </c>
      <c r="E47" s="192">
        <f t="shared" si="3"/>
        <v>-3.0680440434620371</v>
      </c>
      <c r="F47" s="196">
        <v>825</v>
      </c>
      <c r="G47" s="193">
        <v>1818.979</v>
      </c>
      <c r="H47" s="9">
        <f t="shared" si="5"/>
        <v>15.509064930941419</v>
      </c>
      <c r="I47" s="194">
        <f t="shared" si="4"/>
        <v>2112.393</v>
      </c>
      <c r="J47" s="75">
        <f t="shared" si="6"/>
        <v>12.513881853640928</v>
      </c>
      <c r="M47" s="193"/>
      <c r="N47" s="193"/>
      <c r="O47" s="193"/>
    </row>
    <row r="48" spans="2:27" ht="15" x14ac:dyDescent="0.25">
      <c r="B48" s="3"/>
      <c r="C48" s="202">
        <v>2004</v>
      </c>
      <c r="D48" s="9">
        <v>259.88499999999999</v>
      </c>
      <c r="E48" s="192">
        <f t="shared" si="3"/>
        <v>-11.42719842952279</v>
      </c>
      <c r="F48" s="196">
        <v>732</v>
      </c>
      <c r="G48" s="9">
        <v>1693.2929999999999</v>
      </c>
      <c r="H48" s="9">
        <f>(G48/G47-1)*100</f>
        <v>-6.9097004418412826</v>
      </c>
      <c r="I48" s="194">
        <f t="shared" si="4"/>
        <v>1953.1779999999999</v>
      </c>
      <c r="J48" s="197">
        <f t="shared" si="6"/>
        <v>-7.5371864989137949</v>
      </c>
      <c r="M48" s="193"/>
      <c r="N48" s="9"/>
      <c r="O48" s="9"/>
      <c r="P48" s="8"/>
      <c r="U48" s="8"/>
      <c r="V48" s="8"/>
      <c r="W48" s="8"/>
      <c r="Y48" s="8"/>
      <c r="Z48" s="8"/>
      <c r="AA48" s="8"/>
    </row>
    <row r="49" spans="2:15" x14ac:dyDescent="0.2">
      <c r="B49" s="3"/>
      <c r="C49" s="202">
        <v>2005</v>
      </c>
      <c r="D49" s="9">
        <v>167.76</v>
      </c>
      <c r="E49" s="192">
        <f t="shared" si="3"/>
        <v>-35.448371395040112</v>
      </c>
      <c r="F49" s="196">
        <v>784</v>
      </c>
      <c r="G49" s="193">
        <v>1799</v>
      </c>
      <c r="H49" s="9">
        <f>(G49/G48-1)*100</f>
        <v>6.2426880640267246</v>
      </c>
      <c r="I49" s="194">
        <f t="shared" si="4"/>
        <v>1966.76</v>
      </c>
      <c r="J49" s="75">
        <f t="shared" si="6"/>
        <v>0.69537953018108389</v>
      </c>
      <c r="M49" s="193"/>
      <c r="N49" s="193"/>
      <c r="O49" s="193"/>
    </row>
    <row r="50" spans="2:15" x14ac:dyDescent="0.2">
      <c r="B50" s="3"/>
      <c r="C50" s="202"/>
      <c r="D50" s="199"/>
      <c r="E50" s="192"/>
      <c r="F50" s="196"/>
      <c r="G50" s="199"/>
      <c r="H50" s="9"/>
      <c r="I50" s="194"/>
      <c r="J50" s="75"/>
      <c r="M50" s="193"/>
      <c r="N50" s="201"/>
      <c r="O50" s="201"/>
    </row>
    <row r="51" spans="2:15" x14ac:dyDescent="0.2">
      <c r="B51" s="3"/>
      <c r="C51" s="202">
        <v>2006</v>
      </c>
      <c r="D51" s="9">
        <v>267.22800000000001</v>
      </c>
      <c r="E51" s="192">
        <f>(D51/D49-1)*100</f>
        <v>59.291845493562256</v>
      </c>
      <c r="F51" s="196">
        <v>802</v>
      </c>
      <c r="G51" s="9">
        <v>1930.1</v>
      </c>
      <c r="H51" s="9">
        <f>(G51/G49-1)*100</f>
        <v>7.2873818788215639</v>
      </c>
      <c r="I51" s="194">
        <f t="shared" si="4"/>
        <v>2197.328</v>
      </c>
      <c r="J51" s="75">
        <f>(I51/I49-1)*100</f>
        <v>11.723240253004953</v>
      </c>
      <c r="M51" s="193"/>
      <c r="N51" s="9"/>
      <c r="O51" s="9"/>
    </row>
    <row r="52" spans="2:15" x14ac:dyDescent="0.2">
      <c r="B52" s="3"/>
      <c r="C52" s="202">
        <v>2007</v>
      </c>
      <c r="D52" s="9">
        <v>291.476</v>
      </c>
      <c r="E52" s="192">
        <f>(D52/D51-1)*100</f>
        <v>9.0738994416752696</v>
      </c>
      <c r="F52" s="196">
        <v>657</v>
      </c>
      <c r="G52" s="9">
        <v>1715.7</v>
      </c>
      <c r="H52" s="9">
        <f>(G52/G51-1)*100</f>
        <v>-11.108232734055223</v>
      </c>
      <c r="I52" s="194">
        <f t="shared" si="4"/>
        <v>2007.1759999999999</v>
      </c>
      <c r="J52" s="197">
        <f t="shared" si="6"/>
        <v>-8.6537831402503365</v>
      </c>
      <c r="M52" s="193"/>
      <c r="N52" s="9"/>
      <c r="O52" s="9"/>
    </row>
    <row r="53" spans="2:15" x14ac:dyDescent="0.2">
      <c r="C53" s="3">
        <v>2008</v>
      </c>
      <c r="D53" s="9">
        <v>302.87200000000001</v>
      </c>
      <c r="E53" s="192">
        <f>(D53/D52-1)*100</f>
        <v>3.9097558632614771</v>
      </c>
      <c r="F53" s="196">
        <v>583</v>
      </c>
      <c r="G53" s="9">
        <v>1553.1</v>
      </c>
      <c r="H53" s="9">
        <f>(G53/G52-1)*100</f>
        <v>-9.4771813254065478</v>
      </c>
      <c r="I53" s="194">
        <f t="shared" si="4"/>
        <v>1855.972</v>
      </c>
      <c r="J53" s="197">
        <f t="shared" si="6"/>
        <v>-7.5331709825147364</v>
      </c>
      <c r="M53" s="203"/>
      <c r="N53" s="203"/>
      <c r="O53" s="203"/>
    </row>
    <row r="54" spans="2:15" x14ac:dyDescent="0.2">
      <c r="C54" s="3">
        <v>2009</v>
      </c>
      <c r="D54" s="9">
        <v>271.94799999999998</v>
      </c>
      <c r="E54" s="192">
        <f>(D54/D53-1)*100</f>
        <v>-10.210253836604256</v>
      </c>
      <c r="F54" s="204">
        <v>542</v>
      </c>
      <c r="G54" s="205">
        <v>1520.4</v>
      </c>
      <c r="H54" s="9">
        <f>(G54/G53-1)*100</f>
        <v>-2.1054664863820682</v>
      </c>
      <c r="I54" s="194">
        <f t="shared" si="4"/>
        <v>1792.348</v>
      </c>
      <c r="J54" s="197">
        <f t="shared" si="6"/>
        <v>-3.4280689579368695</v>
      </c>
      <c r="M54" s="9"/>
      <c r="N54" s="9"/>
      <c r="O54" s="9"/>
    </row>
    <row r="55" spans="2:15" x14ac:dyDescent="0.2">
      <c r="C55" s="3">
        <v>2010</v>
      </c>
      <c r="D55" s="206">
        <v>288.25700000000001</v>
      </c>
      <c r="E55" s="9">
        <f>(D55/D54-1)*100</f>
        <v>5.9971023872210871</v>
      </c>
      <c r="F55" s="54">
        <v>577</v>
      </c>
      <c r="G55" s="9">
        <v>1597.838</v>
      </c>
      <c r="H55" s="9">
        <f>(G55/G54-1)*100</f>
        <v>5.0932649302815047</v>
      </c>
      <c r="I55" s="194">
        <f t="shared" si="4"/>
        <v>1886.095</v>
      </c>
      <c r="J55" s="75">
        <f t="shared" si="6"/>
        <v>5.2304016853869983</v>
      </c>
      <c r="M55" s="193"/>
      <c r="N55" s="9"/>
    </row>
    <row r="56" spans="2:15" x14ac:dyDescent="0.2">
      <c r="C56" s="3"/>
      <c r="D56" s="206"/>
      <c r="E56" s="9"/>
      <c r="F56" s="54"/>
      <c r="G56" s="9"/>
      <c r="H56" s="9"/>
      <c r="I56" s="194"/>
      <c r="J56" s="75"/>
      <c r="K56" s="9"/>
    </row>
    <row r="57" spans="2:15" x14ac:dyDescent="0.2">
      <c r="C57" s="3">
        <v>2011</v>
      </c>
      <c r="D57" s="206">
        <v>309.08699999999999</v>
      </c>
      <c r="E57" s="9">
        <f>(D57/D55-1)*100</f>
        <v>7.2261905174896057</v>
      </c>
      <c r="F57" s="54">
        <v>529</v>
      </c>
      <c r="G57" s="9">
        <v>1401.5</v>
      </c>
      <c r="H57" s="9">
        <f>(G57/G55-1)*100</f>
        <v>-12.28772879353226</v>
      </c>
      <c r="I57" s="194">
        <f t="shared" si="4"/>
        <v>1710.587</v>
      </c>
      <c r="J57" s="197">
        <f>(I57/I55-1)*100</f>
        <v>-9.305363727701943</v>
      </c>
      <c r="K57" s="9"/>
    </row>
    <row r="58" spans="2:15" x14ac:dyDescent="0.2">
      <c r="C58" s="3">
        <v>2012</v>
      </c>
      <c r="D58" s="206">
        <v>321.642</v>
      </c>
      <c r="E58" s="9">
        <f>(D58/D57-1)*100</f>
        <v>4.0619631365926168</v>
      </c>
      <c r="F58" s="54">
        <v>525</v>
      </c>
      <c r="G58" s="9">
        <v>1507.4</v>
      </c>
      <c r="H58" s="9">
        <f>(G58/G57-1)*100</f>
        <v>7.5561897966464509</v>
      </c>
      <c r="I58" s="194">
        <f t="shared" si="4"/>
        <v>1829.0420000000001</v>
      </c>
      <c r="J58" s="75">
        <f t="shared" si="6"/>
        <v>6.9248158673016924</v>
      </c>
      <c r="K58" s="9"/>
    </row>
    <row r="59" spans="2:15" x14ac:dyDescent="0.2">
      <c r="C59" s="3">
        <v>2013</v>
      </c>
      <c r="D59" s="206">
        <v>345.38</v>
      </c>
      <c r="E59" s="192">
        <f>(D59/D58-1)*100</f>
        <v>7.3802550661915989</v>
      </c>
      <c r="F59" s="54">
        <v>481</v>
      </c>
      <c r="G59" s="9">
        <v>1375.9</v>
      </c>
      <c r="H59" s="9">
        <f>(G59/G57-1)*100</f>
        <v>-1.8266143417766667</v>
      </c>
      <c r="I59" s="194">
        <f t="shared" si="4"/>
        <v>1721.2800000000002</v>
      </c>
      <c r="J59" s="197">
        <f t="shared" si="6"/>
        <v>-5.8917181781500849</v>
      </c>
      <c r="K59" s="9"/>
    </row>
    <row r="60" spans="2:15" x14ac:dyDescent="0.2">
      <c r="C60" s="3">
        <v>2014</v>
      </c>
      <c r="D60" s="206">
        <v>382.81599999999997</v>
      </c>
      <c r="E60" s="207">
        <f>(D60/D59-1)*100</f>
        <v>10.839075800567489</v>
      </c>
      <c r="F60" s="208">
        <v>561</v>
      </c>
      <c r="G60" s="9">
        <v>1609.6</v>
      </c>
      <c r="H60" s="206">
        <f>(G60/G59-1)*100</f>
        <v>16.98524602078637</v>
      </c>
      <c r="I60" s="194">
        <f>SUM(D60)+G60</f>
        <v>1992.4159999999999</v>
      </c>
      <c r="J60" s="75">
        <f>(I60/I59-1)*100</f>
        <v>15.7519985127347</v>
      </c>
      <c r="K60" s="9"/>
    </row>
    <row r="61" spans="2:15" x14ac:dyDescent="0.2">
      <c r="C61" s="3">
        <v>2015</v>
      </c>
      <c r="D61" s="206">
        <v>385.37799999999999</v>
      </c>
      <c r="E61" s="206">
        <f>(D61/D60-1)*100</f>
        <v>0.66925102399064684</v>
      </c>
      <c r="F61" s="66">
        <v>573</v>
      </c>
      <c r="G61" s="9">
        <v>1716.8119999999999</v>
      </c>
      <c r="H61" s="206">
        <f>(G61/G60-1)*100</f>
        <v>6.6607852882703877</v>
      </c>
      <c r="I61" s="194">
        <f>SUM(D61)+G61</f>
        <v>2102.19</v>
      </c>
      <c r="J61" s="75">
        <f t="shared" si="6"/>
        <v>5.5095923742832786</v>
      </c>
      <c r="K61" s="9"/>
    </row>
    <row r="62" spans="2:15" x14ac:dyDescent="0.2">
      <c r="C62" s="72">
        <v>2016</v>
      </c>
      <c r="D62" s="209">
        <v>385.5</v>
      </c>
      <c r="E62" s="210">
        <f>(D62/D61-1)*100</f>
        <v>3.1657230044279672E-2</v>
      </c>
      <c r="F62" s="211">
        <v>575</v>
      </c>
      <c r="G62" s="203">
        <v>1711.8489999999999</v>
      </c>
      <c r="H62" s="209">
        <f>(G62/G61-1)*100</f>
        <v>-0.2890823223509642</v>
      </c>
      <c r="I62" s="212">
        <f>SUM(D62)+G62</f>
        <v>2097.3490000000002</v>
      </c>
      <c r="J62" s="213">
        <f t="shared" ref="J62" si="7">(I62/I61-1)*100</f>
        <v>-0.2302836565676647</v>
      </c>
      <c r="K62" s="9"/>
    </row>
    <row r="63" spans="2:15" x14ac:dyDescent="0.2">
      <c r="C63" s="3"/>
      <c r="D63" s="206"/>
      <c r="E63" s="206"/>
      <c r="F63" s="208"/>
      <c r="G63" s="9"/>
      <c r="H63" s="206"/>
      <c r="I63" s="9"/>
      <c r="J63" s="75"/>
      <c r="K63" s="9"/>
    </row>
    <row r="64" spans="2:15" x14ac:dyDescent="0.2">
      <c r="C64" s="30" t="s">
        <v>14</v>
      </c>
      <c r="D64" s="9"/>
      <c r="E64" s="9"/>
      <c r="F64" s="3"/>
      <c r="G64" s="9"/>
      <c r="H64" s="9"/>
      <c r="J64" s="193"/>
    </row>
    <row r="65" spans="2:17" x14ac:dyDescent="0.2">
      <c r="C65" s="208" t="s">
        <v>15</v>
      </c>
      <c r="D65" s="3"/>
      <c r="E65" s="3"/>
      <c r="F65" s="3"/>
      <c r="G65" s="3"/>
      <c r="H65" s="3"/>
      <c r="J65" s="193"/>
    </row>
    <row r="66" spans="2:17" ht="15" x14ac:dyDescent="0.2">
      <c r="B66" s="214"/>
      <c r="C66" s="215" t="s">
        <v>16</v>
      </c>
      <c r="D66" s="215"/>
      <c r="E66" s="215"/>
      <c r="F66" s="215"/>
      <c r="G66" s="215"/>
      <c r="H66" s="215"/>
      <c r="J66" s="193"/>
      <c r="N66" s="216" t="s">
        <v>5</v>
      </c>
      <c r="O66" s="10" t="s">
        <v>17</v>
      </c>
      <c r="P66" s="217" t="s">
        <v>18</v>
      </c>
      <c r="Q66" s="11" t="s">
        <v>12</v>
      </c>
    </row>
    <row r="67" spans="2:17" ht="14.25" x14ac:dyDescent="0.2">
      <c r="B67" s="152"/>
      <c r="C67" s="215"/>
      <c r="D67" s="215"/>
      <c r="E67" s="215"/>
      <c r="F67" s="215"/>
      <c r="G67" s="215"/>
      <c r="H67" s="215"/>
      <c r="N67" s="4">
        <v>2004</v>
      </c>
      <c r="O67" s="9">
        <f>+D48</f>
        <v>259.88499999999999</v>
      </c>
      <c r="P67" s="56">
        <f>+G48</f>
        <v>1693.2929999999999</v>
      </c>
      <c r="Q67" s="12">
        <f t="shared" ref="Q67:Q74" si="8">+P67+O67</f>
        <v>1953.1779999999999</v>
      </c>
    </row>
    <row r="68" spans="2:17" ht="14.25" x14ac:dyDescent="0.2">
      <c r="B68" s="152"/>
      <c r="C68" s="218"/>
      <c r="D68" s="218"/>
      <c r="E68" s="218"/>
      <c r="F68" s="218"/>
      <c r="G68" s="218"/>
      <c r="H68" s="218"/>
      <c r="O68" s="9"/>
      <c r="P68" s="56"/>
      <c r="Q68" s="12"/>
    </row>
    <row r="69" spans="2:17" ht="14.25" x14ac:dyDescent="0.2">
      <c r="C69" s="78" t="s">
        <v>80</v>
      </c>
      <c r="D69" s="3"/>
      <c r="E69" s="3"/>
      <c r="F69" s="3"/>
      <c r="G69" s="3"/>
      <c r="H69" s="3"/>
      <c r="N69" s="4">
        <v>2005</v>
      </c>
      <c r="O69" s="193">
        <f>+D49</f>
        <v>167.76</v>
      </c>
      <c r="P69" s="56">
        <f>+G49</f>
        <v>1799</v>
      </c>
      <c r="Q69" s="12">
        <f t="shared" si="8"/>
        <v>1966.76</v>
      </c>
    </row>
    <row r="70" spans="2:17" ht="14.25" x14ac:dyDescent="0.2">
      <c r="N70" s="4">
        <v>2006</v>
      </c>
      <c r="O70" s="201">
        <f>+D51</f>
        <v>267.22800000000001</v>
      </c>
      <c r="P70" s="56">
        <f>+G51</f>
        <v>1930.1</v>
      </c>
      <c r="Q70" s="12">
        <f t="shared" si="8"/>
        <v>2197.328</v>
      </c>
    </row>
    <row r="71" spans="2:17" ht="14.25" x14ac:dyDescent="0.2">
      <c r="N71" s="4">
        <v>2007</v>
      </c>
      <c r="O71" s="201">
        <f>+D52</f>
        <v>291.476</v>
      </c>
      <c r="P71" s="56">
        <f>+G52</f>
        <v>1715.7</v>
      </c>
      <c r="Q71" s="12">
        <f t="shared" si="8"/>
        <v>2007.1759999999999</v>
      </c>
    </row>
    <row r="72" spans="2:17" ht="14.25" x14ac:dyDescent="0.2">
      <c r="N72" s="4">
        <v>2008</v>
      </c>
      <c r="O72" s="201">
        <f>+D53</f>
        <v>302.87200000000001</v>
      </c>
      <c r="P72" s="56">
        <f>+G53</f>
        <v>1553.1</v>
      </c>
      <c r="Q72" s="12">
        <f t="shared" si="8"/>
        <v>1855.972</v>
      </c>
    </row>
    <row r="73" spans="2:17" ht="14.25" x14ac:dyDescent="0.2">
      <c r="N73" s="4">
        <v>2009</v>
      </c>
      <c r="O73" s="9">
        <f>D54</f>
        <v>271.94799999999998</v>
      </c>
      <c r="P73" s="193">
        <f>G54</f>
        <v>1520.4</v>
      </c>
      <c r="Q73" s="12">
        <f t="shared" si="8"/>
        <v>1792.348</v>
      </c>
    </row>
    <row r="74" spans="2:17" ht="14.25" x14ac:dyDescent="0.2">
      <c r="L74" s="4">
        <v>195217</v>
      </c>
      <c r="N74" s="4">
        <v>2010</v>
      </c>
      <c r="O74" s="193">
        <f>D55</f>
        <v>288.25700000000001</v>
      </c>
      <c r="P74" s="193">
        <f>G55</f>
        <v>1597.838</v>
      </c>
      <c r="Q74" s="12">
        <f t="shared" si="8"/>
        <v>1886.095</v>
      </c>
    </row>
    <row r="75" spans="2:17" x14ac:dyDescent="0.2">
      <c r="L75" s="4">
        <v>176154</v>
      </c>
    </row>
    <row r="76" spans="2:17" x14ac:dyDescent="0.2">
      <c r="L76" s="4">
        <v>182622</v>
      </c>
    </row>
    <row r="77" spans="2:17" x14ac:dyDescent="0.2">
      <c r="L77" s="4">
        <v>153049</v>
      </c>
    </row>
    <row r="78" spans="2:17" x14ac:dyDescent="0.2">
      <c r="L78" s="4">
        <v>101312</v>
      </c>
    </row>
    <row r="79" spans="2:17" x14ac:dyDescent="0.2">
      <c r="L79" s="4">
        <v>93120</v>
      </c>
    </row>
    <row r="80" spans="2:17" x14ac:dyDescent="0.2">
      <c r="L80" s="4">
        <v>108514</v>
      </c>
    </row>
    <row r="81" spans="2:12" x14ac:dyDescent="0.2">
      <c r="L81" s="4">
        <v>87381</v>
      </c>
    </row>
    <row r="82" spans="2:12" x14ac:dyDescent="0.2">
      <c r="L82" s="4">
        <v>69372</v>
      </c>
    </row>
    <row r="83" spans="2:12" x14ac:dyDescent="0.2">
      <c r="L83" s="4">
        <v>105366</v>
      </c>
    </row>
    <row r="84" spans="2:12" x14ac:dyDescent="0.2">
      <c r="L84" s="4">
        <v>117221</v>
      </c>
    </row>
    <row r="85" spans="2:12" x14ac:dyDescent="0.2">
      <c r="L85" s="4">
        <v>163725</v>
      </c>
    </row>
    <row r="86" spans="2:12" x14ac:dyDescent="0.2">
      <c r="K86" s="219"/>
      <c r="L86" s="219">
        <f>SUM(L74:L85)</f>
        <v>1553053</v>
      </c>
    </row>
    <row r="87" spans="2:12" x14ac:dyDescent="0.2">
      <c r="D87" s="161"/>
    </row>
    <row r="90" spans="2:12" x14ac:dyDescent="0.2">
      <c r="B90" s="180">
        <v>123</v>
      </c>
      <c r="C90" s="180"/>
      <c r="D90" s="180"/>
      <c r="E90" s="180"/>
      <c r="F90" s="180"/>
      <c r="G90" s="180"/>
      <c r="H90" s="180"/>
      <c r="I90" s="180"/>
      <c r="J90" s="156"/>
      <c r="K90" s="156"/>
    </row>
  </sheetData>
  <mergeCells count="4">
    <mergeCell ref="C6:I6"/>
    <mergeCell ref="I9:J9"/>
    <mergeCell ref="C66:H67"/>
    <mergeCell ref="B90:I90"/>
  </mergeCells>
  <printOptions horizontalCentered="1"/>
  <pageMargins left="1" right="1" top="1" bottom="1" header="0.5" footer="0.24"/>
  <pageSetup scale="66" orientation="portrait" r:id="rId1"/>
  <headerFooter alignWithMargins="0"/>
  <ignoredErrors>
    <ignoredError sqref="I45:I60 I40:I43 H58:H59 I61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504825</xdr:colOff>
                <xdr:row>3</xdr:row>
                <xdr:rowOff>57150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6:AZ79"/>
  <sheetViews>
    <sheetView zoomScaleNormal="100" zoomScaleSheetLayoutView="100" workbookViewId="0">
      <pane xSplit="3" ySplit="10" topLeftCell="W11" activePane="bottomRight" state="frozen"/>
      <selection pane="topRight" activeCell="D1" sqref="D1"/>
      <selection pane="bottomLeft" activeCell="A11" sqref="A11"/>
      <selection pane="bottomRight" activeCell="C2" sqref="C2"/>
    </sheetView>
  </sheetViews>
  <sheetFormatPr defaultRowHeight="12.75" x14ac:dyDescent="0.2"/>
  <cols>
    <col min="1" max="1" width="9.140625" style="4"/>
    <col min="2" max="2" width="7.7109375" style="4" customWidth="1"/>
    <col min="3" max="3" width="56.5703125" style="4" customWidth="1"/>
    <col min="4" max="9" width="8.7109375" style="4" customWidth="1"/>
    <col min="10" max="10" width="9.42578125" style="4" customWidth="1"/>
    <col min="11" max="12" width="8.7109375" style="4" customWidth="1"/>
    <col min="13" max="14" width="8.28515625" style="4" customWidth="1"/>
    <col min="15" max="24" width="7.28515625" style="4" customWidth="1"/>
    <col min="25" max="29" width="9.140625" style="4" customWidth="1"/>
    <col min="30" max="34" width="9.140625" style="4"/>
    <col min="35" max="35" width="0" style="4" hidden="1" customWidth="1"/>
    <col min="36" max="36" width="9.140625" style="16" customWidth="1"/>
    <col min="37" max="46" width="9.140625" style="16"/>
    <col min="47" max="16384" width="9.140625" style="4"/>
  </cols>
  <sheetData>
    <row r="6" spans="2:52" ht="15.75" x14ac:dyDescent="0.25">
      <c r="B6" s="13"/>
      <c r="C6" s="14" t="s">
        <v>108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4"/>
      <c r="AV6" s="14"/>
      <c r="AW6" s="14"/>
      <c r="AX6" s="14"/>
      <c r="AY6" s="14"/>
      <c r="AZ6" s="14"/>
    </row>
    <row r="8" spans="2:52" x14ac:dyDescent="0.2">
      <c r="C8" s="178" t="s">
        <v>20</v>
      </c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</row>
    <row r="9" spans="2:52" ht="14.25" x14ac:dyDescent="0.2">
      <c r="C9" s="175" t="s">
        <v>21</v>
      </c>
      <c r="D9" s="221">
        <v>1996</v>
      </c>
      <c r="E9" s="221">
        <v>1997</v>
      </c>
      <c r="F9" s="221">
        <v>1998</v>
      </c>
      <c r="G9" s="221">
        <v>1999</v>
      </c>
      <c r="H9" s="231" t="s">
        <v>22</v>
      </c>
      <c r="I9" s="19">
        <v>2001</v>
      </c>
      <c r="J9" s="237">
        <v>2002</v>
      </c>
      <c r="K9" s="237">
        <v>2003</v>
      </c>
      <c r="L9" s="231">
        <v>2004</v>
      </c>
      <c r="M9" s="237">
        <v>2005</v>
      </c>
      <c r="N9" s="19">
        <v>2006</v>
      </c>
      <c r="O9" s="173">
        <v>2008</v>
      </c>
      <c r="P9" s="177"/>
      <c r="Q9" s="173">
        <v>2009</v>
      </c>
      <c r="R9" s="177"/>
      <c r="S9" s="173">
        <v>2010</v>
      </c>
      <c r="T9" s="177"/>
      <c r="U9" s="174">
        <v>2011</v>
      </c>
      <c r="V9" s="174"/>
      <c r="W9" s="173">
        <v>2012</v>
      </c>
      <c r="X9" s="174"/>
      <c r="Y9" s="173">
        <v>2013</v>
      </c>
      <c r="Z9" s="174"/>
      <c r="AA9" s="173">
        <v>2014</v>
      </c>
      <c r="AB9" s="174"/>
      <c r="AC9" s="173">
        <v>2015</v>
      </c>
      <c r="AD9" s="174"/>
      <c r="AE9" s="173">
        <v>2016</v>
      </c>
      <c r="AF9" s="174"/>
      <c r="AG9" s="20"/>
      <c r="AH9" s="20"/>
    </row>
    <row r="10" spans="2:52" x14ac:dyDescent="0.2">
      <c r="C10" s="176"/>
      <c r="D10" s="222"/>
      <c r="E10" s="222"/>
      <c r="F10" s="222"/>
      <c r="G10" s="222"/>
      <c r="H10" s="232"/>
      <c r="I10" s="23"/>
      <c r="J10" s="238"/>
      <c r="K10" s="238"/>
      <c r="L10" s="232"/>
      <c r="M10" s="238"/>
      <c r="N10" s="23"/>
      <c r="O10" s="24" t="s">
        <v>23</v>
      </c>
      <c r="P10" s="25" t="s">
        <v>24</v>
      </c>
      <c r="Q10" s="24" t="s">
        <v>23</v>
      </c>
      <c r="R10" s="25" t="s">
        <v>24</v>
      </c>
      <c r="S10" s="24" t="s">
        <v>23</v>
      </c>
      <c r="T10" s="25" t="s">
        <v>24</v>
      </c>
      <c r="U10" s="22" t="s">
        <v>23</v>
      </c>
      <c r="V10" s="22" t="s">
        <v>24</v>
      </c>
      <c r="W10" s="26" t="s">
        <v>23</v>
      </c>
      <c r="X10" s="22" t="s">
        <v>24</v>
      </c>
      <c r="Y10" s="26" t="s">
        <v>23</v>
      </c>
      <c r="Z10" s="22" t="s">
        <v>24</v>
      </c>
      <c r="AA10" s="26" t="s">
        <v>23</v>
      </c>
      <c r="AB10" s="22" t="s">
        <v>24</v>
      </c>
      <c r="AC10" s="26" t="s">
        <v>23</v>
      </c>
      <c r="AD10" s="22" t="s">
        <v>24</v>
      </c>
      <c r="AE10" s="26" t="s">
        <v>23</v>
      </c>
      <c r="AF10" s="22" t="s">
        <v>24</v>
      </c>
      <c r="AG10" s="27"/>
      <c r="AH10" s="27"/>
    </row>
    <row r="11" spans="2:52" x14ac:dyDescent="0.2">
      <c r="C11" s="28"/>
      <c r="D11" s="223"/>
      <c r="E11" s="223"/>
      <c r="F11" s="223"/>
      <c r="G11" s="223"/>
      <c r="H11" s="233"/>
      <c r="I11" s="30"/>
      <c r="J11" s="239"/>
      <c r="K11" s="239"/>
      <c r="L11" s="233"/>
      <c r="M11" s="239"/>
      <c r="N11" s="30"/>
      <c r="O11" s="31"/>
      <c r="P11" s="32"/>
      <c r="Q11" s="31"/>
      <c r="R11" s="32"/>
      <c r="S11" s="31"/>
      <c r="T11" s="32"/>
      <c r="U11" s="30"/>
      <c r="V11" s="30"/>
      <c r="W11" s="33"/>
      <c r="X11" s="30"/>
      <c r="Y11" s="33"/>
      <c r="Z11" s="30"/>
      <c r="AA11" s="33"/>
      <c r="AB11" s="30"/>
      <c r="AC11" s="33"/>
      <c r="AD11" s="30"/>
      <c r="AE11" s="33"/>
      <c r="AF11" s="30"/>
      <c r="AG11" s="30"/>
      <c r="AH11" s="30"/>
      <c r="AJ11" s="34"/>
      <c r="AK11" s="35"/>
    </row>
    <row r="12" spans="2:52" x14ac:dyDescent="0.2">
      <c r="C12" s="28"/>
      <c r="D12" s="223"/>
      <c r="E12" s="223"/>
      <c r="F12" s="223"/>
      <c r="G12" s="223"/>
      <c r="H12" s="233"/>
      <c r="I12" s="30"/>
      <c r="J12" s="239"/>
      <c r="K12" s="239"/>
      <c r="L12" s="233"/>
      <c r="M12" s="239"/>
      <c r="N12" s="30"/>
      <c r="O12" s="31"/>
      <c r="P12" s="32"/>
      <c r="Q12" s="31"/>
      <c r="R12" s="32"/>
      <c r="S12" s="31"/>
      <c r="T12" s="32"/>
      <c r="U12" s="30"/>
      <c r="V12" s="30"/>
      <c r="W12" s="31"/>
      <c r="X12" s="30"/>
      <c r="Y12" s="31"/>
      <c r="Z12" s="30"/>
      <c r="AA12" s="31"/>
      <c r="AB12" s="30"/>
      <c r="AC12" s="31"/>
      <c r="AD12" s="30"/>
      <c r="AE12" s="31"/>
      <c r="AF12" s="30"/>
      <c r="AG12" s="30"/>
      <c r="AH12" s="30"/>
      <c r="AJ12" s="34"/>
      <c r="AK12" s="35"/>
      <c r="AL12" s="36"/>
    </row>
    <row r="13" spans="2:52" x14ac:dyDescent="0.2">
      <c r="C13" s="37" t="s">
        <v>25</v>
      </c>
      <c r="D13" s="224">
        <f t="shared" ref="D13:N13" si="0">D34+D22+D19+D16</f>
        <v>312.10000000000002</v>
      </c>
      <c r="E13" s="224">
        <f t="shared" si="0"/>
        <v>318.59999999999997</v>
      </c>
      <c r="F13" s="224">
        <f t="shared" si="0"/>
        <v>333.09999999999997</v>
      </c>
      <c r="G13" s="224">
        <f t="shared" si="0"/>
        <v>371.3</v>
      </c>
      <c r="H13" s="224">
        <f t="shared" si="0"/>
        <v>337.84399999999999</v>
      </c>
      <c r="I13" s="220">
        <f t="shared" si="0"/>
        <v>318.51400000000001</v>
      </c>
      <c r="J13" s="224">
        <f t="shared" si="0"/>
        <v>289.04700000000003</v>
      </c>
      <c r="K13" s="224">
        <f t="shared" si="0"/>
        <v>279.37099999999998</v>
      </c>
      <c r="L13" s="224">
        <f t="shared" si="0"/>
        <v>247.74699999999999</v>
      </c>
      <c r="M13" s="224">
        <f t="shared" si="0"/>
        <v>157.81</v>
      </c>
      <c r="N13" s="220">
        <f t="shared" si="0"/>
        <v>254.5</v>
      </c>
      <c r="O13" s="39">
        <f>O34+O22+O19+O16</f>
        <v>287.44099999999997</v>
      </c>
      <c r="P13" s="40">
        <f>O13/$O$13*100</f>
        <v>100</v>
      </c>
      <c r="Q13" s="39">
        <f>Q34+Q22+Q19+Q16</f>
        <v>271.94100000000003</v>
      </c>
      <c r="R13" s="40">
        <f>Q13/$Q$13*100</f>
        <v>100</v>
      </c>
      <c r="S13" s="39">
        <f>S34+S22+S19+S16</f>
        <v>288.322</v>
      </c>
      <c r="T13" s="41">
        <f>S13/$S$13*100</f>
        <v>100</v>
      </c>
      <c r="U13" s="42">
        <f>SUM(U16,U19,U22,U34)</f>
        <v>309.10000000000002</v>
      </c>
      <c r="V13" s="43">
        <f>U13/$U$13*100</f>
        <v>100</v>
      </c>
      <c r="W13" s="44">
        <f>SUM(W16,W19,W22,W34)</f>
        <v>321.59999999999997</v>
      </c>
      <c r="X13" s="43">
        <v>100</v>
      </c>
      <c r="Y13" s="44">
        <f>SUM(Y16,Y19,Y22,Y34)</f>
        <v>345.4</v>
      </c>
      <c r="Z13" s="43">
        <f>Y13/$Y$13*100</f>
        <v>100</v>
      </c>
      <c r="AA13" s="44">
        <f>SUM(AA16,AA19,AA22,AA34)</f>
        <v>382.79999999999995</v>
      </c>
      <c r="AB13" s="45">
        <f>AB16+AB19+AB22+AB34</f>
        <v>100</v>
      </c>
      <c r="AC13" s="44">
        <f>SUM(AC16,AC19,AC22,AC34)</f>
        <v>385.40000000000003</v>
      </c>
      <c r="AD13" s="45">
        <f>AD16+AD19+AD22+AD34</f>
        <v>100</v>
      </c>
      <c r="AE13" s="44">
        <f>SUM(AE16,AE19,AE22,AE34)</f>
        <v>385.45100000000008</v>
      </c>
      <c r="AF13" s="45">
        <f>AF16+AF19+AF22+AF34</f>
        <v>99.999999999999986</v>
      </c>
      <c r="AG13" s="45"/>
      <c r="AH13" s="45"/>
      <c r="AJ13" s="34"/>
      <c r="AK13" s="35"/>
      <c r="AL13" s="36"/>
    </row>
    <row r="14" spans="2:52" x14ac:dyDescent="0.2">
      <c r="C14" s="37"/>
      <c r="D14" s="225"/>
      <c r="E14" s="225"/>
      <c r="F14" s="228"/>
      <c r="G14" s="230"/>
      <c r="H14" s="230"/>
      <c r="I14" s="48"/>
      <c r="J14" s="230"/>
      <c r="K14" s="230"/>
      <c r="L14" s="230"/>
      <c r="M14" s="230"/>
      <c r="N14" s="48"/>
      <c r="O14" s="49"/>
      <c r="P14" s="50"/>
      <c r="Q14" s="49"/>
      <c r="R14" s="50"/>
      <c r="S14" s="49"/>
      <c r="T14" s="50"/>
      <c r="U14" s="48"/>
      <c r="V14" s="50"/>
      <c r="W14" s="51"/>
      <c r="X14" s="48"/>
      <c r="Y14" s="49"/>
      <c r="Z14" s="48"/>
      <c r="AA14" s="49"/>
      <c r="AB14" s="52"/>
      <c r="AC14" s="49"/>
      <c r="AD14" s="52"/>
      <c r="AE14" s="49"/>
      <c r="AF14" s="52"/>
      <c r="AG14" s="52"/>
      <c r="AH14" s="52"/>
      <c r="AI14" s="53"/>
      <c r="AJ14" s="34"/>
      <c r="AK14" s="35"/>
      <c r="AL14" s="36"/>
    </row>
    <row r="15" spans="2:52" x14ac:dyDescent="0.2">
      <c r="D15" s="226"/>
      <c r="E15" s="226"/>
      <c r="F15" s="226"/>
      <c r="G15" s="226"/>
      <c r="H15" s="226"/>
      <c r="J15" s="226"/>
      <c r="K15" s="226"/>
      <c r="L15" s="226"/>
      <c r="M15" s="226"/>
      <c r="O15" s="54"/>
      <c r="P15" s="55"/>
      <c r="Q15" s="54"/>
      <c r="R15" s="55"/>
      <c r="S15" s="54"/>
      <c r="T15" s="55"/>
      <c r="V15" s="55"/>
      <c r="W15" s="3"/>
      <c r="Y15" s="54"/>
      <c r="AA15" s="54"/>
      <c r="AB15" s="56"/>
      <c r="AC15" s="54"/>
      <c r="AD15" s="56"/>
      <c r="AE15" s="54"/>
      <c r="AF15" s="56"/>
      <c r="AG15" s="56"/>
      <c r="AH15" s="56"/>
      <c r="AJ15" s="57"/>
      <c r="AK15" s="34"/>
      <c r="AL15" s="35"/>
    </row>
    <row r="16" spans="2:52" x14ac:dyDescent="0.2">
      <c r="C16" s="4" t="s">
        <v>26</v>
      </c>
      <c r="D16" s="227">
        <v>274.7</v>
      </c>
      <c r="E16" s="227">
        <v>278.7</v>
      </c>
      <c r="F16" s="227">
        <v>295.2</v>
      </c>
      <c r="G16" s="227">
        <v>280.3</v>
      </c>
      <c r="H16" s="227">
        <f>281616/1000</f>
        <v>281.61599999999999</v>
      </c>
      <c r="I16" s="58">
        <f>270105/1000</f>
        <v>270.10500000000002</v>
      </c>
      <c r="J16" s="227">
        <f>244862/1000</f>
        <v>244.86199999999999</v>
      </c>
      <c r="K16" s="227">
        <v>232.41300000000001</v>
      </c>
      <c r="L16" s="227">
        <v>205.20599999999999</v>
      </c>
      <c r="M16" s="234">
        <v>118.843</v>
      </c>
      <c r="N16" s="59">
        <v>217.4</v>
      </c>
      <c r="O16" s="60">
        <v>240.46199999999999</v>
      </c>
      <c r="P16" s="40">
        <f>O16/$O$13*100</f>
        <v>83.656124213316815</v>
      </c>
      <c r="Q16" s="60">
        <v>215.03700000000001</v>
      </c>
      <c r="R16" s="40">
        <f>Q16/$Q$13*100</f>
        <v>79.074872858450902</v>
      </c>
      <c r="S16" s="61">
        <v>228.46100000000001</v>
      </c>
      <c r="T16" s="41">
        <f>S16/$S$13*100</f>
        <v>79.238143464598608</v>
      </c>
      <c r="U16" s="56">
        <v>242.9</v>
      </c>
      <c r="V16" s="41">
        <f>U16/$U$13*100</f>
        <v>78.582982853445486</v>
      </c>
      <c r="W16" s="56">
        <v>253.2</v>
      </c>
      <c r="X16" s="56">
        <f>W16/$W$13*100</f>
        <v>78.731343283582092</v>
      </c>
      <c r="Y16" s="61">
        <v>265.39999999999998</v>
      </c>
      <c r="Z16" s="56">
        <f>Y16/$Y$13*100</f>
        <v>76.838448176027796</v>
      </c>
      <c r="AA16" s="61">
        <v>288</v>
      </c>
      <c r="AB16" s="52">
        <f>AA16/AA13*100</f>
        <v>75.23510971786834</v>
      </c>
      <c r="AC16" s="61">
        <v>291.8</v>
      </c>
      <c r="AD16" s="52">
        <f>AC16/AC13*100</f>
        <v>75.713544369486243</v>
      </c>
      <c r="AE16" s="61">
        <v>300.57100000000003</v>
      </c>
      <c r="AF16" s="52">
        <f>AE16/AE13*100</f>
        <v>77.97904273176097</v>
      </c>
      <c r="AG16" s="52"/>
      <c r="AH16" s="52"/>
      <c r="AK16" s="34"/>
      <c r="AL16" s="35"/>
    </row>
    <row r="17" spans="3:38" x14ac:dyDescent="0.2">
      <c r="D17" s="228"/>
      <c r="E17" s="228"/>
      <c r="F17" s="228"/>
      <c r="G17" s="228"/>
      <c r="H17" s="228"/>
      <c r="I17" s="47"/>
      <c r="J17" s="228"/>
      <c r="K17" s="228"/>
      <c r="L17" s="228"/>
      <c r="M17" s="228"/>
      <c r="N17" s="47"/>
      <c r="O17" s="62"/>
      <c r="P17" s="63"/>
      <c r="Q17" s="62"/>
      <c r="R17" s="63"/>
      <c r="S17" s="62"/>
      <c r="T17" s="63"/>
      <c r="U17" s="47"/>
      <c r="V17" s="64"/>
      <c r="W17" s="65"/>
      <c r="X17" s="52"/>
      <c r="Y17" s="62"/>
      <c r="Z17" s="56"/>
      <c r="AA17" s="62"/>
      <c r="AB17" s="52"/>
      <c r="AC17" s="62"/>
      <c r="AD17" s="52"/>
      <c r="AE17" s="62"/>
      <c r="AF17" s="52"/>
      <c r="AG17" s="52"/>
      <c r="AH17" s="52"/>
      <c r="AK17" s="34"/>
      <c r="AL17" s="35"/>
    </row>
    <row r="18" spans="3:38" x14ac:dyDescent="0.2">
      <c r="D18" s="226"/>
      <c r="E18" s="226"/>
      <c r="F18" s="226"/>
      <c r="G18" s="226"/>
      <c r="H18" s="234"/>
      <c r="I18" s="58"/>
      <c r="J18" s="226"/>
      <c r="K18" s="227"/>
      <c r="L18" s="226"/>
      <c r="M18" s="234"/>
      <c r="N18" s="59"/>
      <c r="O18" s="54"/>
      <c r="P18" s="55"/>
      <c r="Q18" s="54"/>
      <c r="R18" s="55"/>
      <c r="S18" s="54"/>
      <c r="T18" s="55"/>
      <c r="V18" s="41"/>
      <c r="W18" s="3"/>
      <c r="X18" s="56"/>
      <c r="Y18" s="54"/>
      <c r="Z18" s="56"/>
      <c r="AA18" s="66"/>
      <c r="AB18" s="52"/>
      <c r="AC18" s="66"/>
      <c r="AD18" s="52"/>
      <c r="AE18" s="66"/>
      <c r="AF18" s="52"/>
      <c r="AG18" s="52"/>
      <c r="AH18" s="52"/>
      <c r="AJ18" s="57"/>
      <c r="AK18" s="34"/>
      <c r="AL18" s="35"/>
    </row>
    <row r="19" spans="3:38" x14ac:dyDescent="0.2">
      <c r="C19" s="4" t="s">
        <v>27</v>
      </c>
      <c r="D19" s="227">
        <v>16.2</v>
      </c>
      <c r="E19" s="227">
        <v>18.2</v>
      </c>
      <c r="F19" s="227">
        <v>18.399999999999999</v>
      </c>
      <c r="G19" s="227">
        <v>18.899999999999999</v>
      </c>
      <c r="H19" s="227">
        <f>15003/1000</f>
        <v>15.003</v>
      </c>
      <c r="I19" s="58">
        <f>13550/1000</f>
        <v>13.55</v>
      </c>
      <c r="J19" s="227">
        <f>13569/1000</f>
        <v>13.569000000000001</v>
      </c>
      <c r="K19" s="227">
        <v>14.125</v>
      </c>
      <c r="L19" s="227">
        <v>12.116</v>
      </c>
      <c r="M19" s="234">
        <v>10.48</v>
      </c>
      <c r="N19" s="59">
        <v>14.9</v>
      </c>
      <c r="O19" s="60">
        <v>18.544</v>
      </c>
      <c r="P19" s="40">
        <f>O19/$O$13*100</f>
        <v>6.4514108982365075</v>
      </c>
      <c r="Q19" s="60">
        <v>17.254000000000001</v>
      </c>
      <c r="R19" s="40">
        <f>Q19/$Q$13*100</f>
        <v>6.3447586057269776</v>
      </c>
      <c r="S19" s="61">
        <v>19.498999999999999</v>
      </c>
      <c r="T19" s="41">
        <f>S19/$S$13*100</f>
        <v>6.7629247854828973</v>
      </c>
      <c r="U19" s="56">
        <v>24.7</v>
      </c>
      <c r="V19" s="41">
        <f>U19/$U$13*100</f>
        <v>7.9909414428987375</v>
      </c>
      <c r="W19" s="56">
        <v>24.1</v>
      </c>
      <c r="X19" s="56">
        <f>W19/$W$13*100</f>
        <v>7.4937810945273648</v>
      </c>
      <c r="Y19" s="61">
        <v>23.6</v>
      </c>
      <c r="Z19" s="56">
        <f t="shared" ref="Z19:Z34" si="1">Y19/$Y$13*100</f>
        <v>6.8326577880718009</v>
      </c>
      <c r="AA19" s="67">
        <v>24.9</v>
      </c>
      <c r="AB19" s="52">
        <f>AA19/AA13*100</f>
        <v>6.5047021943573675</v>
      </c>
      <c r="AC19" s="67">
        <v>24.3</v>
      </c>
      <c r="AD19" s="52">
        <f>AC19/AC13*100</f>
        <v>6.3051375194603008</v>
      </c>
      <c r="AE19" s="67">
        <v>23.274000000000001</v>
      </c>
      <c r="AF19" s="52">
        <f>AE19/AE13*100</f>
        <v>6.0381215770616743</v>
      </c>
      <c r="AG19" s="52"/>
      <c r="AH19" s="52"/>
    </row>
    <row r="20" spans="3:38" x14ac:dyDescent="0.2">
      <c r="D20" s="227"/>
      <c r="E20" s="227"/>
      <c r="F20" s="227"/>
      <c r="G20" s="227"/>
      <c r="H20" s="227"/>
      <c r="I20" s="58"/>
      <c r="J20" s="227"/>
      <c r="K20" s="227"/>
      <c r="L20" s="227"/>
      <c r="M20" s="234"/>
      <c r="N20" s="59"/>
      <c r="O20" s="60"/>
      <c r="P20" s="40"/>
      <c r="Q20" s="60"/>
      <c r="R20" s="40"/>
      <c r="S20" s="61"/>
      <c r="T20" s="41"/>
      <c r="U20" s="56"/>
      <c r="V20" s="41"/>
      <c r="W20" s="56"/>
      <c r="X20" s="56"/>
      <c r="Y20" s="61"/>
      <c r="Z20" s="56"/>
      <c r="AA20" s="67"/>
      <c r="AB20" s="52"/>
      <c r="AC20" s="67"/>
      <c r="AD20" s="52"/>
      <c r="AE20" s="67"/>
      <c r="AF20" s="52"/>
      <c r="AG20" s="52"/>
      <c r="AH20" s="52"/>
      <c r="AI20" s="68"/>
    </row>
    <row r="21" spans="3:38" x14ac:dyDescent="0.2">
      <c r="D21" s="226"/>
      <c r="E21" s="226"/>
      <c r="F21" s="226"/>
      <c r="G21" s="226"/>
      <c r="H21" s="234"/>
      <c r="I21" s="58"/>
      <c r="J21" s="226"/>
      <c r="K21" s="227"/>
      <c r="L21" s="226"/>
      <c r="M21" s="226"/>
      <c r="N21" s="59"/>
      <c r="O21" s="54"/>
      <c r="P21" s="55"/>
      <c r="Q21" s="54"/>
      <c r="R21" s="55"/>
      <c r="S21" s="54"/>
      <c r="T21" s="55"/>
      <c r="V21" s="41"/>
      <c r="W21" s="3"/>
      <c r="X21" s="56"/>
      <c r="Y21" s="54"/>
      <c r="Z21" s="56"/>
      <c r="AA21" s="66"/>
      <c r="AB21" s="52"/>
      <c r="AC21" s="66"/>
      <c r="AD21" s="52"/>
      <c r="AE21" s="66"/>
      <c r="AF21" s="52"/>
      <c r="AG21" s="52"/>
      <c r="AH21" s="52"/>
      <c r="AI21" s="68"/>
    </row>
    <row r="22" spans="3:38" x14ac:dyDescent="0.2">
      <c r="C22" s="4" t="s">
        <v>28</v>
      </c>
      <c r="D22" s="227">
        <v>11.3</v>
      </c>
      <c r="E22" s="227">
        <v>11</v>
      </c>
      <c r="F22" s="227">
        <v>10.8</v>
      </c>
      <c r="G22" s="227">
        <v>11.1</v>
      </c>
      <c r="H22" s="227">
        <f>(22590-16174)/1000</f>
        <v>6.4160000000000004</v>
      </c>
      <c r="I22" s="58">
        <f>(20496-15605)/1000</f>
        <v>4.891</v>
      </c>
      <c r="J22" s="227">
        <f>(17882-13691)/1000</f>
        <v>4.1909999999999998</v>
      </c>
      <c r="K22" s="227">
        <v>4.0990000000000002</v>
      </c>
      <c r="L22" s="227">
        <v>3.0950000000000002</v>
      </c>
      <c r="M22" s="234">
        <f>(1392+478+567+288)/1000</f>
        <v>2.7250000000000001</v>
      </c>
      <c r="N22" s="59">
        <v>4.5999999999999996</v>
      </c>
      <c r="O22" s="60">
        <v>5.8330000000000002</v>
      </c>
      <c r="P22" s="40">
        <f>O22/$O$13*100</f>
        <v>2.0292860099985739</v>
      </c>
      <c r="Q22" s="60">
        <v>19.100000000000001</v>
      </c>
      <c r="R22" s="40">
        <f>Q22/$Q$13*100</f>
        <v>7.0235823211652528</v>
      </c>
      <c r="S22" s="61">
        <v>19.899999999999999</v>
      </c>
      <c r="T22" s="41">
        <f>S22/$S$13*100</f>
        <v>6.9020053967439186</v>
      </c>
      <c r="U22" s="56">
        <v>21.1</v>
      </c>
      <c r="V22" s="41">
        <f>U22/$U$13*100</f>
        <v>6.8262698155936592</v>
      </c>
      <c r="W22" s="56">
        <v>21.4</v>
      </c>
      <c r="X22" s="56">
        <f>W22/$W$13*100</f>
        <v>6.6542288557213931</v>
      </c>
      <c r="Y22" s="61">
        <v>28</v>
      </c>
      <c r="Z22" s="56">
        <f t="shared" si="1"/>
        <v>8.106543138390272</v>
      </c>
      <c r="AA22" s="61">
        <v>36.5</v>
      </c>
      <c r="AB22" s="52">
        <f>AA22/AA13*100</f>
        <v>9.5350052246603987</v>
      </c>
      <c r="AC22" s="61">
        <v>34.299999999999997</v>
      </c>
      <c r="AD22" s="52">
        <f>AC22/AC13*100</f>
        <v>8.8998443175921107</v>
      </c>
      <c r="AE22" s="61">
        <v>29.22</v>
      </c>
      <c r="AF22" s="52">
        <f>AE22/AE13*100</f>
        <v>7.5807301057721972</v>
      </c>
      <c r="AG22" s="52"/>
      <c r="AH22" s="52"/>
      <c r="AI22" s="68"/>
    </row>
    <row r="23" spans="3:38" x14ac:dyDescent="0.2">
      <c r="D23" s="228"/>
      <c r="E23" s="228"/>
      <c r="F23" s="228"/>
      <c r="G23" s="228"/>
      <c r="H23" s="228"/>
      <c r="I23" s="47"/>
      <c r="J23" s="228"/>
      <c r="K23" s="228"/>
      <c r="L23" s="228"/>
      <c r="M23" s="228"/>
      <c r="N23" s="47"/>
      <c r="O23" s="62"/>
      <c r="P23" s="63"/>
      <c r="Q23" s="62"/>
      <c r="R23" s="63"/>
      <c r="S23" s="62"/>
      <c r="T23" s="63"/>
      <c r="U23" s="47"/>
      <c r="V23" s="64"/>
      <c r="W23" s="65"/>
      <c r="X23" s="52"/>
      <c r="Y23" s="62"/>
      <c r="Z23" s="56"/>
      <c r="AA23" s="62"/>
      <c r="AB23" s="52"/>
      <c r="AC23" s="62"/>
      <c r="AD23" s="52"/>
      <c r="AE23" s="62"/>
      <c r="AF23" s="52"/>
      <c r="AG23" s="52"/>
      <c r="AH23" s="52"/>
      <c r="AI23" s="68"/>
    </row>
    <row r="24" spans="3:38" x14ac:dyDescent="0.2">
      <c r="D24" s="226"/>
      <c r="E24" s="226"/>
      <c r="F24" s="226"/>
      <c r="G24" s="226"/>
      <c r="H24" s="234"/>
      <c r="I24" s="58"/>
      <c r="J24" s="236"/>
      <c r="K24" s="236"/>
      <c r="L24" s="226"/>
      <c r="M24" s="226"/>
      <c r="N24" s="59"/>
      <c r="O24" s="54"/>
      <c r="P24" s="55"/>
      <c r="Q24" s="54"/>
      <c r="R24" s="55"/>
      <c r="S24" s="54"/>
      <c r="T24" s="55"/>
      <c r="V24" s="41"/>
      <c r="W24" s="3"/>
      <c r="X24" s="56"/>
      <c r="Y24" s="54"/>
      <c r="Z24" s="56"/>
      <c r="AA24" s="54"/>
      <c r="AB24" s="52"/>
      <c r="AC24" s="54"/>
      <c r="AD24" s="52"/>
      <c r="AE24" s="54"/>
      <c r="AF24" s="52"/>
      <c r="AG24" s="52"/>
      <c r="AH24" s="52"/>
      <c r="AI24" s="68"/>
    </row>
    <row r="25" spans="3:38" ht="12.75" hidden="1" customHeight="1" x14ac:dyDescent="0.2">
      <c r="C25" s="4" t="s">
        <v>29</v>
      </c>
      <c r="D25" s="227">
        <v>1.5</v>
      </c>
      <c r="E25" s="227">
        <v>1.2</v>
      </c>
      <c r="F25" s="227">
        <v>2.9</v>
      </c>
      <c r="G25" s="227">
        <v>2.9</v>
      </c>
      <c r="H25" s="227">
        <v>0.60399999999999998</v>
      </c>
      <c r="I25" s="58">
        <v>0.47</v>
      </c>
      <c r="J25" s="227">
        <v>0.27900000000000003</v>
      </c>
      <c r="K25" s="227">
        <v>0.23100000000000001</v>
      </c>
      <c r="L25" s="236">
        <v>0</v>
      </c>
      <c r="M25" s="236">
        <v>0</v>
      </c>
      <c r="N25" s="69">
        <v>0</v>
      </c>
      <c r="O25" s="54"/>
      <c r="P25" s="55"/>
      <c r="Q25" s="54"/>
      <c r="R25" s="55"/>
      <c r="S25" s="54"/>
      <c r="T25" s="55"/>
      <c r="V25" s="41"/>
      <c r="W25" s="3"/>
      <c r="X25" s="56"/>
      <c r="Y25" s="54"/>
      <c r="Z25" s="56">
        <f t="shared" si="1"/>
        <v>0</v>
      </c>
      <c r="AA25" s="54"/>
      <c r="AB25" s="52">
        <f t="shared" ref="AB25:AB33" si="2">AA25/AA22</f>
        <v>0</v>
      </c>
      <c r="AC25" s="54"/>
      <c r="AD25" s="52">
        <f t="shared" ref="AD25:AD33" si="3">AC25/AC22</f>
        <v>0</v>
      </c>
      <c r="AE25" s="54"/>
      <c r="AF25" s="52">
        <f t="shared" ref="AF25:AF33" si="4">AE25/AE22</f>
        <v>0</v>
      </c>
      <c r="AG25" s="52"/>
      <c r="AH25" s="52"/>
      <c r="AI25" s="68"/>
    </row>
    <row r="26" spans="3:38" ht="12.75" hidden="1" customHeight="1" x14ac:dyDescent="0.2">
      <c r="D26" s="228">
        <f t="shared" ref="D26:K26" si="5">(D25/D$13)</f>
        <v>4.8061518743992308E-3</v>
      </c>
      <c r="E26" s="228">
        <f t="shared" si="5"/>
        <v>3.7664783427495295E-3</v>
      </c>
      <c r="F26" s="228">
        <f t="shared" si="5"/>
        <v>8.7060942659861907E-3</v>
      </c>
      <c r="G26" s="228">
        <f t="shared" si="5"/>
        <v>7.8103959062752488E-3</v>
      </c>
      <c r="H26" s="228">
        <f t="shared" si="5"/>
        <v>1.7878073903931993E-3</v>
      </c>
      <c r="I26" s="47">
        <f t="shared" si="5"/>
        <v>1.4756023283120992E-3</v>
      </c>
      <c r="J26" s="228">
        <f t="shared" si="5"/>
        <v>9.6524094697402157E-4</v>
      </c>
      <c r="K26" s="228">
        <f t="shared" si="5"/>
        <v>8.2685747625916802E-4</v>
      </c>
      <c r="L26" s="228"/>
      <c r="M26" s="228"/>
      <c r="N26" s="70"/>
      <c r="O26" s="54"/>
      <c r="P26" s="55"/>
      <c r="Q26" s="54"/>
      <c r="R26" s="55"/>
      <c r="S26" s="54"/>
      <c r="T26" s="55"/>
      <c r="V26" s="41"/>
      <c r="W26" s="3"/>
      <c r="X26" s="56"/>
      <c r="Y26" s="54"/>
      <c r="Z26" s="56">
        <f t="shared" si="1"/>
        <v>0</v>
      </c>
      <c r="AA26" s="54"/>
      <c r="AB26" s="52" t="e">
        <f t="shared" si="2"/>
        <v>#DIV/0!</v>
      </c>
      <c r="AC26" s="54"/>
      <c r="AD26" s="52" t="e">
        <f t="shared" si="3"/>
        <v>#DIV/0!</v>
      </c>
      <c r="AE26" s="54"/>
      <c r="AF26" s="52" t="e">
        <f t="shared" si="4"/>
        <v>#DIV/0!</v>
      </c>
      <c r="AG26" s="52"/>
      <c r="AH26" s="52"/>
      <c r="AI26" s="68"/>
    </row>
    <row r="27" spans="3:38" ht="12.75" hidden="1" customHeight="1" x14ac:dyDescent="0.2">
      <c r="D27" s="226"/>
      <c r="E27" s="226"/>
      <c r="F27" s="226"/>
      <c r="G27" s="226"/>
      <c r="H27" s="235"/>
      <c r="I27" s="69"/>
      <c r="J27" s="226"/>
      <c r="K27" s="227"/>
      <c r="L27" s="226"/>
      <c r="M27" s="226"/>
      <c r="N27" s="59"/>
      <c r="O27" s="54"/>
      <c r="P27" s="55"/>
      <c r="Q27" s="54"/>
      <c r="R27" s="55"/>
      <c r="S27" s="54"/>
      <c r="T27" s="55"/>
      <c r="V27" s="41"/>
      <c r="W27" s="3"/>
      <c r="X27" s="56"/>
      <c r="Y27" s="54"/>
      <c r="Z27" s="56">
        <f t="shared" si="1"/>
        <v>0</v>
      </c>
      <c r="AA27" s="54"/>
      <c r="AB27" s="52" t="e">
        <f t="shared" si="2"/>
        <v>#DIV/0!</v>
      </c>
      <c r="AC27" s="54"/>
      <c r="AD27" s="52" t="e">
        <f t="shared" si="3"/>
        <v>#DIV/0!</v>
      </c>
      <c r="AE27" s="54"/>
      <c r="AF27" s="52" t="e">
        <f t="shared" si="4"/>
        <v>#DIV/0!</v>
      </c>
      <c r="AG27" s="52"/>
      <c r="AH27" s="52"/>
      <c r="AI27" s="68"/>
    </row>
    <row r="28" spans="3:38" ht="12.75" hidden="1" customHeight="1" x14ac:dyDescent="0.2">
      <c r="C28" s="4" t="s">
        <v>30</v>
      </c>
      <c r="D28" s="227">
        <v>32.6</v>
      </c>
      <c r="E28" s="227">
        <v>35.5</v>
      </c>
      <c r="F28" s="227">
        <v>39.299999999999997</v>
      </c>
      <c r="G28" s="227">
        <v>42.8</v>
      </c>
      <c r="H28" s="236">
        <v>20.323</v>
      </c>
      <c r="I28" s="69">
        <v>17.879000000000001</v>
      </c>
      <c r="J28" s="227">
        <v>15.544</v>
      </c>
      <c r="K28" s="227">
        <v>18.638999999999999</v>
      </c>
      <c r="L28" s="236">
        <v>0</v>
      </c>
      <c r="M28" s="236">
        <v>0</v>
      </c>
      <c r="N28" s="69">
        <v>0</v>
      </c>
      <c r="O28" s="54"/>
      <c r="P28" s="55"/>
      <c r="Q28" s="54"/>
      <c r="R28" s="55"/>
      <c r="S28" s="54"/>
      <c r="T28" s="55"/>
      <c r="V28" s="41"/>
      <c r="W28" s="3"/>
      <c r="X28" s="56"/>
      <c r="Y28" s="54"/>
      <c r="Z28" s="56">
        <f t="shared" si="1"/>
        <v>0</v>
      </c>
      <c r="AA28" s="54"/>
      <c r="AB28" s="52" t="e">
        <f t="shared" si="2"/>
        <v>#DIV/0!</v>
      </c>
      <c r="AC28" s="54"/>
      <c r="AD28" s="52" t="e">
        <f t="shared" si="3"/>
        <v>#DIV/0!</v>
      </c>
      <c r="AE28" s="54"/>
      <c r="AF28" s="52" t="e">
        <f t="shared" si="4"/>
        <v>#DIV/0!</v>
      </c>
      <c r="AG28" s="52"/>
      <c r="AH28" s="52"/>
      <c r="AI28" s="68"/>
    </row>
    <row r="29" spans="3:38" ht="12.75" hidden="1" customHeight="1" x14ac:dyDescent="0.2">
      <c r="D29" s="228">
        <f t="shared" ref="D29:K29" si="6">(D28/D$13)</f>
        <v>0.10445370073694328</v>
      </c>
      <c r="E29" s="228">
        <f t="shared" si="6"/>
        <v>0.11142498430634025</v>
      </c>
      <c r="F29" s="228">
        <f t="shared" si="6"/>
        <v>0.11798258781146803</v>
      </c>
      <c r="G29" s="228">
        <f t="shared" si="6"/>
        <v>0.11527067061675195</v>
      </c>
      <c r="H29" s="228">
        <f t="shared" si="6"/>
        <v>6.0154982773114221E-2</v>
      </c>
      <c r="I29" s="47">
        <f t="shared" si="6"/>
        <v>5.6132540484876647E-2</v>
      </c>
      <c r="J29" s="228">
        <f t="shared" si="6"/>
        <v>5.3776721432846557E-2</v>
      </c>
      <c r="K29" s="228">
        <f t="shared" si="6"/>
        <v>6.6717733766210527E-2</v>
      </c>
      <c r="L29" s="240"/>
      <c r="M29" s="240"/>
      <c r="N29" s="70"/>
      <c r="O29" s="54"/>
      <c r="P29" s="55"/>
      <c r="Q29" s="54"/>
      <c r="R29" s="55"/>
      <c r="S29" s="54"/>
      <c r="T29" s="55"/>
      <c r="V29" s="41"/>
      <c r="W29" s="3"/>
      <c r="X29" s="56"/>
      <c r="Y29" s="54"/>
      <c r="Z29" s="56">
        <f t="shared" si="1"/>
        <v>0</v>
      </c>
      <c r="AA29" s="54"/>
      <c r="AB29" s="52" t="e">
        <f t="shared" si="2"/>
        <v>#DIV/0!</v>
      </c>
      <c r="AC29" s="54"/>
      <c r="AD29" s="52" t="e">
        <f t="shared" si="3"/>
        <v>#DIV/0!</v>
      </c>
      <c r="AE29" s="54"/>
      <c r="AF29" s="52" t="e">
        <f t="shared" si="4"/>
        <v>#DIV/0!</v>
      </c>
      <c r="AG29" s="52"/>
      <c r="AH29" s="52"/>
      <c r="AI29" s="68"/>
    </row>
    <row r="30" spans="3:38" ht="12.75" hidden="1" customHeight="1" x14ac:dyDescent="0.2">
      <c r="D30" s="226"/>
      <c r="E30" s="226"/>
      <c r="F30" s="226"/>
      <c r="G30" s="226"/>
      <c r="H30" s="235"/>
      <c r="I30" s="69"/>
      <c r="J30" s="226"/>
      <c r="K30" s="227"/>
      <c r="L30" s="241"/>
      <c r="M30" s="241"/>
      <c r="N30" s="59"/>
      <c r="O30" s="54"/>
      <c r="P30" s="55"/>
      <c r="Q30" s="54"/>
      <c r="R30" s="55"/>
      <c r="S30" s="54"/>
      <c r="T30" s="55"/>
      <c r="V30" s="41"/>
      <c r="W30" s="3"/>
      <c r="X30" s="56"/>
      <c r="Y30" s="54"/>
      <c r="Z30" s="56">
        <f t="shared" si="1"/>
        <v>0</v>
      </c>
      <c r="AA30" s="54"/>
      <c r="AB30" s="52" t="e">
        <f t="shared" si="2"/>
        <v>#DIV/0!</v>
      </c>
      <c r="AC30" s="54"/>
      <c r="AD30" s="52" t="e">
        <f t="shared" si="3"/>
        <v>#DIV/0!</v>
      </c>
      <c r="AE30" s="54"/>
      <c r="AF30" s="52" t="e">
        <f t="shared" si="4"/>
        <v>#DIV/0!</v>
      </c>
      <c r="AG30" s="52"/>
      <c r="AH30" s="52"/>
      <c r="AI30" s="68"/>
    </row>
    <row r="31" spans="3:38" ht="12.75" hidden="1" customHeight="1" x14ac:dyDescent="0.2">
      <c r="C31" s="4" t="s">
        <v>31</v>
      </c>
      <c r="D31" s="227">
        <v>4.8</v>
      </c>
      <c r="E31" s="227">
        <v>4.2</v>
      </c>
      <c r="F31" s="227">
        <v>5.03</v>
      </c>
      <c r="G31" s="227">
        <v>5.4</v>
      </c>
      <c r="H31" s="236">
        <v>4.1420000000000003</v>
      </c>
      <c r="I31" s="69">
        <v>3.3029999999999999</v>
      </c>
      <c r="J31" s="227">
        <v>3.4359999999999999</v>
      </c>
      <c r="K31" s="227">
        <v>3.2610000000000001</v>
      </c>
      <c r="L31" s="236">
        <v>0</v>
      </c>
      <c r="M31" s="236">
        <v>0</v>
      </c>
      <c r="N31" s="69">
        <v>0</v>
      </c>
      <c r="O31" s="54"/>
      <c r="P31" s="55"/>
      <c r="Q31" s="54"/>
      <c r="R31" s="55"/>
      <c r="S31" s="54"/>
      <c r="T31" s="55"/>
      <c r="V31" s="41"/>
      <c r="W31" s="3"/>
      <c r="X31" s="56"/>
      <c r="Y31" s="54"/>
      <c r="Z31" s="56">
        <f t="shared" si="1"/>
        <v>0</v>
      </c>
      <c r="AA31" s="54"/>
      <c r="AB31" s="52" t="e">
        <f t="shared" si="2"/>
        <v>#DIV/0!</v>
      </c>
      <c r="AC31" s="54"/>
      <c r="AD31" s="52" t="e">
        <f t="shared" si="3"/>
        <v>#DIV/0!</v>
      </c>
      <c r="AE31" s="54"/>
      <c r="AF31" s="52" t="e">
        <f t="shared" si="4"/>
        <v>#DIV/0!</v>
      </c>
      <c r="AG31" s="52"/>
      <c r="AH31" s="52"/>
      <c r="AI31" s="68"/>
    </row>
    <row r="32" spans="3:38" ht="12.75" hidden="1" customHeight="1" x14ac:dyDescent="0.2">
      <c r="D32" s="228">
        <f t="shared" ref="D32:K32" si="7">(D31/D$13)</f>
        <v>1.5379685998077538E-2</v>
      </c>
      <c r="E32" s="228">
        <f t="shared" si="7"/>
        <v>1.3182674199623354E-2</v>
      </c>
      <c r="F32" s="228">
        <f t="shared" si="7"/>
        <v>1.5100570399279497E-2</v>
      </c>
      <c r="G32" s="228">
        <f t="shared" si="7"/>
        <v>1.4543495825478051E-2</v>
      </c>
      <c r="H32" s="228">
        <f t="shared" si="7"/>
        <v>1.2260096375842106E-2</v>
      </c>
      <c r="I32" s="47">
        <f t="shared" si="7"/>
        <v>1.0370030830669922E-2</v>
      </c>
      <c r="J32" s="228">
        <f t="shared" si="7"/>
        <v>1.1887340121156765E-2</v>
      </c>
      <c r="K32" s="228">
        <f t="shared" si="7"/>
        <v>1.1672650346671632E-2</v>
      </c>
      <c r="L32" s="228"/>
      <c r="M32" s="228"/>
      <c r="N32" s="70"/>
      <c r="O32" s="54"/>
      <c r="P32" s="55"/>
      <c r="Q32" s="54"/>
      <c r="R32" s="55"/>
      <c r="S32" s="54"/>
      <c r="T32" s="55"/>
      <c r="V32" s="41"/>
      <c r="W32" s="3"/>
      <c r="X32" s="56"/>
      <c r="Y32" s="54"/>
      <c r="Z32" s="56">
        <f t="shared" si="1"/>
        <v>0</v>
      </c>
      <c r="AA32" s="54"/>
      <c r="AB32" s="52" t="e">
        <f t="shared" si="2"/>
        <v>#DIV/0!</v>
      </c>
      <c r="AC32" s="54"/>
      <c r="AD32" s="52" t="e">
        <f t="shared" si="3"/>
        <v>#DIV/0!</v>
      </c>
      <c r="AE32" s="54"/>
      <c r="AF32" s="52" t="e">
        <f t="shared" si="4"/>
        <v>#DIV/0!</v>
      </c>
      <c r="AG32" s="52"/>
      <c r="AH32" s="52"/>
      <c r="AI32" s="68"/>
    </row>
    <row r="33" spans="2:42" ht="12.75" hidden="1" customHeight="1" x14ac:dyDescent="0.2">
      <c r="D33" s="226"/>
      <c r="E33" s="226"/>
      <c r="F33" s="226"/>
      <c r="G33" s="226"/>
      <c r="H33" s="234"/>
      <c r="I33" s="58"/>
      <c r="J33" s="226"/>
      <c r="K33" s="227"/>
      <c r="L33" s="226"/>
      <c r="M33" s="226"/>
      <c r="N33" s="59"/>
      <c r="O33" s="54"/>
      <c r="P33" s="55"/>
      <c r="Q33" s="54"/>
      <c r="R33" s="55"/>
      <c r="S33" s="54"/>
      <c r="T33" s="55"/>
      <c r="V33" s="41"/>
      <c r="W33" s="3"/>
      <c r="X33" s="56"/>
      <c r="Y33" s="54"/>
      <c r="Z33" s="56">
        <f t="shared" si="1"/>
        <v>0</v>
      </c>
      <c r="AA33" s="54"/>
      <c r="AB33" s="52" t="e">
        <f t="shared" si="2"/>
        <v>#DIV/0!</v>
      </c>
      <c r="AC33" s="54"/>
      <c r="AD33" s="52" t="e">
        <f t="shared" si="3"/>
        <v>#DIV/0!</v>
      </c>
      <c r="AE33" s="54"/>
      <c r="AF33" s="52" t="e">
        <f t="shared" si="4"/>
        <v>#DIV/0!</v>
      </c>
      <c r="AG33" s="52"/>
      <c r="AH33" s="52"/>
      <c r="AI33" s="68"/>
    </row>
    <row r="34" spans="2:42" x14ac:dyDescent="0.2">
      <c r="C34" s="4" t="s">
        <v>32</v>
      </c>
      <c r="D34" s="227">
        <v>9.9</v>
      </c>
      <c r="E34" s="227">
        <v>10.7</v>
      </c>
      <c r="F34" s="227">
        <v>8.6999999999999993</v>
      </c>
      <c r="G34" s="227">
        <f>SUM(9.9+5.4+42.8+2.9)</f>
        <v>60.999999999999993</v>
      </c>
      <c r="H34" s="227">
        <f>(9.809+4.1+20.3+0.6)</f>
        <v>34.809000000000005</v>
      </c>
      <c r="I34" s="58">
        <f>(8.268+3.3+17.9+0.5)</f>
        <v>29.968</v>
      </c>
      <c r="J34" s="227">
        <f>(7.225+3.4+15.5+0.3)</f>
        <v>26.425000000000001</v>
      </c>
      <c r="K34" s="227">
        <f>(6.634+3.3+18.6+0.2)</f>
        <v>28.734000000000002</v>
      </c>
      <c r="L34" s="227">
        <v>27.33</v>
      </c>
      <c r="M34" s="227">
        <v>25.762</v>
      </c>
      <c r="N34" s="59">
        <v>17.600000000000001</v>
      </c>
      <c r="O34" s="60">
        <v>22.602</v>
      </c>
      <c r="P34" s="40">
        <f>O34/$O$13*100</f>
        <v>7.8631788784481005</v>
      </c>
      <c r="Q34" s="60">
        <v>20.55</v>
      </c>
      <c r="R34" s="40">
        <f>Q34/$Q$13*100</f>
        <v>7.5567862146568547</v>
      </c>
      <c r="S34" s="61">
        <v>20.462</v>
      </c>
      <c r="T34" s="41">
        <f>S34/$S$13*100</f>
        <v>7.0969263531745748</v>
      </c>
      <c r="U34" s="56">
        <v>20.399999999999999</v>
      </c>
      <c r="V34" s="41">
        <f>U34/$U$13*100</f>
        <v>6.5998058880621144</v>
      </c>
      <c r="W34" s="56">
        <v>22.9</v>
      </c>
      <c r="X34" s="56">
        <f>W34/$W$13*100</f>
        <v>7.1206467661691546</v>
      </c>
      <c r="Y34" s="61">
        <v>28.4</v>
      </c>
      <c r="Z34" s="56">
        <f t="shared" si="1"/>
        <v>8.2223508975101325</v>
      </c>
      <c r="AA34" s="61">
        <v>33.4</v>
      </c>
      <c r="AB34" s="52">
        <f>AA34/AA13*100</f>
        <v>8.725182863113897</v>
      </c>
      <c r="AC34" s="61">
        <v>35</v>
      </c>
      <c r="AD34" s="52">
        <f>AC34/AC13*100</f>
        <v>9.0814737934613383</v>
      </c>
      <c r="AE34" s="61">
        <v>32.386000000000003</v>
      </c>
      <c r="AF34" s="52">
        <f>AE34/AE13*100</f>
        <v>8.4021055854051472</v>
      </c>
      <c r="AG34" s="52"/>
      <c r="AH34" s="52"/>
      <c r="AI34" s="68"/>
    </row>
    <row r="35" spans="2:42" x14ac:dyDescent="0.2">
      <c r="D35" s="228"/>
      <c r="E35" s="228"/>
      <c r="F35" s="228"/>
      <c r="G35" s="228"/>
      <c r="H35" s="228"/>
      <c r="I35" s="47"/>
      <c r="J35" s="228"/>
      <c r="K35" s="228"/>
      <c r="L35" s="228"/>
      <c r="M35" s="228"/>
      <c r="N35" s="47"/>
      <c r="O35" s="62"/>
      <c r="P35" s="63"/>
      <c r="Q35" s="62"/>
      <c r="R35" s="63"/>
      <c r="S35" s="62"/>
      <c r="T35" s="63"/>
      <c r="U35" s="47"/>
      <c r="V35" s="47"/>
      <c r="W35" s="62"/>
      <c r="X35" s="47"/>
      <c r="Y35" s="62"/>
      <c r="Z35" s="47"/>
      <c r="AA35" s="62"/>
      <c r="AB35" s="47"/>
      <c r="AC35" s="62"/>
      <c r="AD35" s="47"/>
      <c r="AE35" s="62"/>
      <c r="AF35" s="47"/>
      <c r="AG35" s="47"/>
      <c r="AH35" s="47"/>
      <c r="AI35" s="68"/>
    </row>
    <row r="36" spans="2:42" x14ac:dyDescent="0.2">
      <c r="B36" s="3"/>
      <c r="C36" s="72"/>
      <c r="D36" s="229"/>
      <c r="E36" s="229"/>
      <c r="F36" s="229"/>
      <c r="G36" s="229"/>
      <c r="H36" s="229"/>
      <c r="I36" s="72"/>
      <c r="J36" s="229"/>
      <c r="K36" s="229"/>
      <c r="L36" s="229"/>
      <c r="M36" s="229"/>
      <c r="N36" s="72"/>
      <c r="O36" s="73"/>
      <c r="P36" s="74"/>
      <c r="Q36" s="73"/>
      <c r="R36" s="74"/>
      <c r="S36" s="73"/>
      <c r="T36" s="74"/>
      <c r="U36" s="72"/>
      <c r="V36" s="72"/>
      <c r="W36" s="73"/>
      <c r="X36" s="72"/>
      <c r="Y36" s="73"/>
      <c r="Z36" s="72"/>
      <c r="AA36" s="73"/>
      <c r="AB36" s="72"/>
      <c r="AC36" s="73"/>
      <c r="AD36" s="72"/>
      <c r="AE36" s="73"/>
      <c r="AF36" s="72"/>
      <c r="AG36" s="3"/>
      <c r="AH36" s="3"/>
      <c r="AI36" s="68"/>
    </row>
    <row r="37" spans="2:42" x14ac:dyDescent="0.2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AI37" s="76"/>
      <c r="AJ37" s="77"/>
    </row>
    <row r="38" spans="2:42" ht="25.5" x14ac:dyDescent="0.2">
      <c r="C38" s="242" t="s">
        <v>80</v>
      </c>
      <c r="D38" s="3"/>
      <c r="E38" s="3"/>
      <c r="F38" s="3"/>
      <c r="G38" s="3"/>
      <c r="H38" s="3"/>
      <c r="I38" s="3"/>
      <c r="J38" s="3"/>
      <c r="AI38" s="79"/>
      <c r="AJ38" s="80"/>
      <c r="AK38" s="81"/>
      <c r="AL38" s="35"/>
      <c r="AM38" s="35"/>
      <c r="AN38" s="35"/>
      <c r="AO38" s="35"/>
    </row>
    <row r="39" spans="2:42" ht="14.25" x14ac:dyDescent="0.2">
      <c r="B39" s="82"/>
      <c r="D39" s="3"/>
      <c r="E39" s="3"/>
      <c r="F39" s="3"/>
      <c r="G39" s="3"/>
      <c r="H39" s="3"/>
      <c r="I39" s="3"/>
      <c r="J39" s="3"/>
      <c r="AI39" s="79"/>
      <c r="AJ39" s="80"/>
      <c r="AK39" s="81"/>
      <c r="AL39" s="35"/>
      <c r="AM39" s="35"/>
      <c r="AN39" s="35"/>
      <c r="AO39" s="35"/>
    </row>
    <row r="40" spans="2:42" x14ac:dyDescent="0.2">
      <c r="AI40" s="79"/>
      <c r="AJ40" s="80"/>
      <c r="AK40" s="81"/>
      <c r="AL40" s="35"/>
      <c r="AM40" s="35"/>
      <c r="AN40" s="35"/>
      <c r="AO40" s="35"/>
      <c r="AP40" s="35"/>
    </row>
    <row r="41" spans="2:42" x14ac:dyDescent="0.2">
      <c r="B41" s="83"/>
      <c r="AI41" s="79"/>
      <c r="AJ41" s="80"/>
      <c r="AK41" s="81"/>
      <c r="AL41" s="35"/>
      <c r="AM41" s="35"/>
      <c r="AN41" s="35"/>
      <c r="AO41" s="35"/>
    </row>
    <row r="42" spans="2:42" ht="14.25" x14ac:dyDescent="0.2">
      <c r="E42" s="84"/>
      <c r="AF42" s="68"/>
      <c r="AG42" s="68"/>
      <c r="AH42" s="68"/>
      <c r="AI42" s="68"/>
      <c r="AP42" s="35"/>
    </row>
    <row r="43" spans="2:42" ht="14.25" x14ac:dyDescent="0.2">
      <c r="E43" s="84"/>
      <c r="AF43" s="68"/>
      <c r="AG43" s="68"/>
      <c r="AH43" s="68"/>
      <c r="AI43" s="68"/>
      <c r="AJ43" s="80"/>
      <c r="AK43" s="80"/>
      <c r="AL43" s="80"/>
    </row>
    <row r="44" spans="2:42" x14ac:dyDescent="0.2">
      <c r="B44" s="59"/>
      <c r="Y44" s="85"/>
      <c r="Z44" s="85"/>
      <c r="AA44" s="85"/>
      <c r="AB44" s="85"/>
      <c r="AC44" s="85"/>
      <c r="AD44" s="85"/>
      <c r="AE44" s="85"/>
    </row>
    <row r="52" spans="2:9" hidden="1" x14ac:dyDescent="0.2"/>
    <row r="54" spans="2:9" hidden="1" x14ac:dyDescent="0.2"/>
    <row r="58" spans="2:9" x14ac:dyDescent="0.2">
      <c r="C58" s="86"/>
      <c r="D58" s="86"/>
      <c r="E58" s="86"/>
    </row>
    <row r="59" spans="2:9" x14ac:dyDescent="0.2">
      <c r="C59" s="86"/>
      <c r="D59" s="86"/>
      <c r="E59" s="86"/>
    </row>
    <row r="62" spans="2:9" x14ac:dyDescent="0.2">
      <c r="B62" s="86"/>
      <c r="C62" s="86"/>
      <c r="D62" s="86"/>
      <c r="E62" s="86"/>
      <c r="F62" s="86"/>
      <c r="G62" s="86"/>
      <c r="H62" s="86"/>
      <c r="I62" s="86"/>
    </row>
    <row r="66" spans="3:24" x14ac:dyDescent="0.2">
      <c r="C66" s="78" t="s">
        <v>19</v>
      </c>
    </row>
    <row r="73" spans="3:24" x14ac:dyDescent="0.2">
      <c r="K73" s="85"/>
      <c r="L73" s="85"/>
      <c r="M73" s="8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87"/>
    </row>
    <row r="74" spans="3:24" x14ac:dyDescent="0.2">
      <c r="K74" s="85"/>
      <c r="L74" s="56"/>
      <c r="M74" s="8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87"/>
    </row>
    <row r="75" spans="3:24" x14ac:dyDescent="0.2">
      <c r="K75" s="85"/>
      <c r="M75" s="8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87"/>
    </row>
    <row r="76" spans="3:24" x14ac:dyDescent="0.2">
      <c r="K76" s="85"/>
      <c r="M76" s="8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87"/>
    </row>
    <row r="77" spans="3:24" x14ac:dyDescent="0.2">
      <c r="K77" s="85"/>
      <c r="L77" s="85"/>
      <c r="M77" s="8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87"/>
    </row>
    <row r="78" spans="3:24" x14ac:dyDescent="0.2">
      <c r="I78" s="85"/>
    </row>
    <row r="79" spans="3:24" x14ac:dyDescent="0.2">
      <c r="I79" s="85"/>
      <c r="J79" s="85"/>
      <c r="K79" s="85"/>
      <c r="M79" s="85"/>
    </row>
  </sheetData>
  <mergeCells count="11">
    <mergeCell ref="C8:AF8"/>
    <mergeCell ref="AE9:AF9"/>
    <mergeCell ref="AA9:AB9"/>
    <mergeCell ref="AC9:AD9"/>
    <mergeCell ref="C9:C10"/>
    <mergeCell ref="O9:P9"/>
    <mergeCell ref="Q9:R9"/>
    <mergeCell ref="S9:T9"/>
    <mergeCell ref="U9:V9"/>
    <mergeCell ref="W9:X9"/>
    <mergeCell ref="Y9:Z9"/>
  </mergeCells>
  <printOptions horizontalCentered="1"/>
  <pageMargins left="0.75" right="0.75" top="1" bottom="1" header="0.5" footer="0.5"/>
  <pageSetup scale="63" orientation="portrait" r:id="rId1"/>
  <headerFooter alignWithMargins="0"/>
  <colBreaks count="1" manualBreakCount="1">
    <brk id="33" min="1" max="71" man="1"/>
  </colBreaks>
  <ignoredErrors>
    <ignoredError sqref="V13:AB13 AC13:AC15 AE13 R13 P13" formula="1"/>
    <ignoredError sqref="AD13:AD18 AD20:AD34" evalError="1" formula="1"/>
    <ignoredError sqref="AD19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</xdr:rowOff>
              </from>
              <to>
                <xdr:col>1</xdr:col>
                <xdr:colOff>514350</xdr:colOff>
                <xdr:row>3</xdr:row>
                <xdr:rowOff>95250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BL61"/>
  <sheetViews>
    <sheetView zoomScaleNormal="100" zoomScaleSheetLayoutView="100" workbookViewId="0">
      <pane xSplit="4" ySplit="10" topLeftCell="AR11" activePane="bottomRight" state="frozen"/>
      <selection pane="topRight" activeCell="E1" sqref="E1"/>
      <selection pane="bottomLeft" activeCell="A11" sqref="A11"/>
      <selection pane="bottomRight" activeCell="D4" sqref="D4"/>
    </sheetView>
  </sheetViews>
  <sheetFormatPr defaultRowHeight="12.75" outlineLevelCol="2" x14ac:dyDescent="0.2"/>
  <cols>
    <col min="1" max="2" width="9.140625" style="4"/>
    <col min="3" max="3" width="7.7109375" style="4" customWidth="1"/>
    <col min="4" max="4" width="15.7109375" style="4" customWidth="1"/>
    <col min="5" max="9" width="9.140625" style="4" customWidth="1" outlineLevel="2"/>
    <col min="10" max="19" width="9.140625" style="4" customWidth="1" outlineLevel="1"/>
    <col min="20" max="24" width="9.140625" style="4" customWidth="1"/>
    <col min="25" max="27" width="8.5703125" style="4" customWidth="1"/>
    <col min="28" max="28" width="8.42578125" style="4" customWidth="1"/>
    <col min="29" max="29" width="8.5703125" style="4" customWidth="1"/>
    <col min="30" max="30" width="8.42578125" style="4" customWidth="1"/>
    <col min="31" max="32" width="8.5703125" style="4" customWidth="1"/>
    <col min="33" max="33" width="8.42578125" style="4" customWidth="1"/>
    <col min="34" max="34" width="7" style="4" customWidth="1"/>
    <col min="35" max="35" width="8.42578125" style="4" customWidth="1"/>
    <col min="36" max="45" width="7.85546875" style="4" customWidth="1"/>
    <col min="46" max="46" width="9.28515625" style="4" customWidth="1"/>
    <col min="47" max="49" width="9.140625" style="4" customWidth="1"/>
    <col min="50" max="16384" width="9.140625" style="4"/>
  </cols>
  <sheetData>
    <row r="6" spans="3:64" ht="15.75" x14ac:dyDescent="0.25"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S6" s="88"/>
      <c r="AT6" s="88" t="s">
        <v>109</v>
      </c>
      <c r="AU6" s="88"/>
      <c r="AV6" s="88"/>
      <c r="AW6" s="88"/>
      <c r="AX6" s="88"/>
      <c r="AY6" s="88"/>
      <c r="AZ6" s="88"/>
      <c r="BA6" s="88"/>
    </row>
    <row r="8" spans="3:64" x14ac:dyDescent="0.2">
      <c r="D8" s="178" t="s">
        <v>20</v>
      </c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3:64" x14ac:dyDescent="0.2">
      <c r="C9" s="3"/>
      <c r="D9" s="175" t="s">
        <v>33</v>
      </c>
      <c r="E9" s="89">
        <v>1975</v>
      </c>
      <c r="F9" s="89">
        <v>1976</v>
      </c>
      <c r="G9" s="89">
        <v>1977</v>
      </c>
      <c r="H9" s="89">
        <v>1978</v>
      </c>
      <c r="I9" s="89">
        <v>1979</v>
      </c>
      <c r="J9" s="89">
        <v>1980</v>
      </c>
      <c r="K9" s="89">
        <v>1981</v>
      </c>
      <c r="L9" s="89">
        <v>1982</v>
      </c>
      <c r="M9" s="89">
        <v>1983</v>
      </c>
      <c r="N9" s="89">
        <v>1984</v>
      </c>
      <c r="O9" s="89">
        <v>1985</v>
      </c>
      <c r="P9" s="89">
        <v>1986</v>
      </c>
      <c r="Q9" s="89">
        <v>1987</v>
      </c>
      <c r="R9" s="89">
        <v>1988</v>
      </c>
      <c r="S9" s="89">
        <v>1989</v>
      </c>
      <c r="T9" s="89">
        <v>1990</v>
      </c>
      <c r="U9" s="89">
        <v>1991</v>
      </c>
      <c r="V9" s="89">
        <v>1992</v>
      </c>
      <c r="W9" s="89">
        <v>1993</v>
      </c>
      <c r="X9" s="17">
        <v>1994</v>
      </c>
      <c r="Y9" s="17">
        <v>1995</v>
      </c>
      <c r="Z9" s="17">
        <v>1996</v>
      </c>
      <c r="AA9" s="17">
        <v>1997</v>
      </c>
      <c r="AB9" s="17">
        <v>1998</v>
      </c>
      <c r="AC9" s="17">
        <v>1999</v>
      </c>
      <c r="AD9" s="19">
        <v>2001</v>
      </c>
      <c r="AE9" s="19">
        <v>2002</v>
      </c>
      <c r="AF9" s="18">
        <v>2003</v>
      </c>
      <c r="AG9" s="18">
        <v>2004</v>
      </c>
      <c r="AH9" s="18">
        <v>2005</v>
      </c>
      <c r="AI9" s="18">
        <v>2006</v>
      </c>
      <c r="AJ9" s="173">
        <v>2008</v>
      </c>
      <c r="AK9" s="177"/>
      <c r="AL9" s="173">
        <v>2009</v>
      </c>
      <c r="AM9" s="177"/>
      <c r="AN9" s="173">
        <v>2010</v>
      </c>
      <c r="AO9" s="177"/>
      <c r="AP9" s="174">
        <v>2011</v>
      </c>
      <c r="AQ9" s="174"/>
      <c r="AR9" s="173">
        <v>2012</v>
      </c>
      <c r="AS9" s="174"/>
      <c r="AT9" s="173">
        <v>2013</v>
      </c>
      <c r="AU9" s="174"/>
      <c r="AV9" s="173">
        <v>2014</v>
      </c>
      <c r="AW9" s="174"/>
      <c r="AX9" s="173">
        <v>2015</v>
      </c>
      <c r="AY9" s="174"/>
      <c r="AZ9" s="173">
        <v>2016</v>
      </c>
      <c r="BA9" s="174"/>
    </row>
    <row r="10" spans="3:64" x14ac:dyDescent="0.2">
      <c r="C10" s="3"/>
      <c r="D10" s="176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21"/>
      <c r="Y10" s="21"/>
      <c r="Z10" s="21"/>
      <c r="AA10" s="21"/>
      <c r="AB10" s="21"/>
      <c r="AC10" s="21"/>
      <c r="AD10" s="23"/>
      <c r="AE10" s="23"/>
      <c r="AF10" s="22"/>
      <c r="AG10" s="22"/>
      <c r="AH10" s="22"/>
      <c r="AI10" s="22"/>
      <c r="AJ10" s="24" t="s">
        <v>23</v>
      </c>
      <c r="AK10" s="25" t="s">
        <v>24</v>
      </c>
      <c r="AL10" s="24" t="s">
        <v>23</v>
      </c>
      <c r="AM10" s="25" t="s">
        <v>24</v>
      </c>
      <c r="AN10" s="24" t="s">
        <v>23</v>
      </c>
      <c r="AO10" s="25" t="s">
        <v>24</v>
      </c>
      <c r="AP10" s="24" t="s">
        <v>23</v>
      </c>
      <c r="AQ10" s="25" t="s">
        <v>24</v>
      </c>
      <c r="AR10" s="24" t="s">
        <v>23</v>
      </c>
      <c r="AS10" s="22" t="s">
        <v>24</v>
      </c>
      <c r="AT10" s="24" t="s">
        <v>23</v>
      </c>
      <c r="AU10" s="22" t="s">
        <v>24</v>
      </c>
      <c r="AV10" s="24" t="s">
        <v>23</v>
      </c>
      <c r="AW10" s="22" t="s">
        <v>24</v>
      </c>
      <c r="AX10" s="24" t="s">
        <v>23</v>
      </c>
      <c r="AY10" s="22" t="s">
        <v>24</v>
      </c>
      <c r="AZ10" s="24" t="s">
        <v>23</v>
      </c>
      <c r="BA10" s="22" t="s">
        <v>24</v>
      </c>
    </row>
    <row r="11" spans="3:64" x14ac:dyDescent="0.2">
      <c r="C11" s="3"/>
      <c r="D11" s="28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29"/>
      <c r="Y11" s="29"/>
      <c r="Z11" s="29"/>
      <c r="AA11" s="29"/>
      <c r="AB11" s="29"/>
      <c r="AC11" s="29"/>
      <c r="AD11" s="30"/>
      <c r="AE11" s="30"/>
      <c r="AF11" s="27"/>
      <c r="AG11" s="27"/>
      <c r="AH11" s="27"/>
      <c r="AI11" s="27"/>
      <c r="AJ11" s="92"/>
      <c r="AK11" s="20"/>
      <c r="AL11" s="93"/>
      <c r="AM11" s="94"/>
      <c r="AN11" s="93"/>
      <c r="AO11" s="94"/>
      <c r="AP11" s="20"/>
      <c r="AQ11" s="20"/>
      <c r="AR11" s="92"/>
      <c r="AS11" s="95"/>
      <c r="AT11" s="92"/>
      <c r="AU11" s="95"/>
      <c r="AV11" s="92"/>
      <c r="AW11" s="95"/>
      <c r="AX11" s="92"/>
      <c r="AY11" s="95"/>
      <c r="AZ11" s="92"/>
      <c r="BA11" s="95"/>
    </row>
    <row r="12" spans="3:64" x14ac:dyDescent="0.2">
      <c r="C12" s="3"/>
      <c r="D12" s="28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29"/>
      <c r="Y12" s="29"/>
      <c r="Z12" s="29"/>
      <c r="AA12" s="29"/>
      <c r="AB12" s="29"/>
      <c r="AC12" s="29"/>
      <c r="AD12" s="30"/>
      <c r="AE12" s="30"/>
      <c r="AF12" s="27"/>
      <c r="AG12" s="27"/>
      <c r="AH12" s="27"/>
      <c r="AI12" s="27"/>
      <c r="AJ12" s="31"/>
      <c r="AK12" s="30"/>
      <c r="AL12" s="31"/>
      <c r="AM12" s="32"/>
      <c r="AN12" s="31"/>
      <c r="AO12" s="32"/>
      <c r="AP12" s="30"/>
      <c r="AQ12" s="30"/>
      <c r="AR12" s="31"/>
      <c r="AS12" s="30"/>
      <c r="AT12" s="31"/>
      <c r="AU12" s="30"/>
      <c r="AV12" s="31"/>
      <c r="AW12" s="30"/>
      <c r="AX12" s="31"/>
      <c r="AY12" s="30"/>
      <c r="AZ12" s="31"/>
      <c r="BA12" s="30"/>
    </row>
    <row r="13" spans="3:64" x14ac:dyDescent="0.2">
      <c r="D13" s="37" t="s">
        <v>34</v>
      </c>
      <c r="E13" s="38">
        <f t="shared" ref="E13:Z13" si="0">E49+E46+E43+E40+E37+E34+E31+E28+E25+E22+E19+E16</f>
        <v>54.164999999999999</v>
      </c>
      <c r="F13" s="38">
        <f t="shared" si="0"/>
        <v>64.901999999999987</v>
      </c>
      <c r="G13" s="38">
        <f t="shared" si="0"/>
        <v>67.256</v>
      </c>
      <c r="H13" s="38">
        <f t="shared" si="0"/>
        <v>77.402000000000001</v>
      </c>
      <c r="I13" s="38">
        <f t="shared" si="0"/>
        <v>100.58699999999999</v>
      </c>
      <c r="J13" s="38">
        <f t="shared" si="0"/>
        <v>120.24099999999999</v>
      </c>
      <c r="K13" s="38">
        <f t="shared" si="0"/>
        <v>124.598</v>
      </c>
      <c r="L13" s="38">
        <f t="shared" si="0"/>
        <v>121.214</v>
      </c>
      <c r="M13" s="38">
        <f t="shared" si="0"/>
        <v>130.76299999999998</v>
      </c>
      <c r="N13" s="38">
        <f t="shared" si="0"/>
        <v>148.48499999999999</v>
      </c>
      <c r="O13" s="38">
        <f t="shared" si="0"/>
        <v>145.03800000000004</v>
      </c>
      <c r="P13" s="38">
        <f t="shared" si="0"/>
        <v>166.04500000000002</v>
      </c>
      <c r="Q13" s="38">
        <f t="shared" si="0"/>
        <v>208.9</v>
      </c>
      <c r="R13" s="38">
        <f t="shared" si="0"/>
        <v>218.6</v>
      </c>
      <c r="S13" s="38">
        <f t="shared" si="0"/>
        <v>209.8</v>
      </c>
      <c r="T13" s="38">
        <f t="shared" si="0"/>
        <v>253.3</v>
      </c>
      <c r="U13" s="38">
        <f t="shared" si="0"/>
        <v>237.20000000000002</v>
      </c>
      <c r="V13" s="38">
        <f t="shared" si="0"/>
        <v>241.89999999999998</v>
      </c>
      <c r="W13" s="38">
        <f t="shared" si="0"/>
        <v>287.3</v>
      </c>
      <c r="X13" s="38">
        <f t="shared" si="0"/>
        <v>341.50000000000006</v>
      </c>
      <c r="Y13" s="38">
        <f t="shared" si="0"/>
        <v>361.4</v>
      </c>
      <c r="Z13" s="38">
        <f t="shared" si="0"/>
        <v>373.2</v>
      </c>
      <c r="AA13" s="42">
        <v>381.2</v>
      </c>
      <c r="AB13" s="37">
        <v>404.2</v>
      </c>
      <c r="AC13" s="38">
        <f t="shared" ref="AC13:AI13" si="1">AC49+AC46+AC43+AC40+AC37+AC34+AC31+AC28+AC25+AC22+AC19+AC16</f>
        <v>394.72300000000001</v>
      </c>
      <c r="AD13" s="38">
        <f t="shared" si="1"/>
        <v>334.07099999999997</v>
      </c>
      <c r="AE13" s="38">
        <f t="shared" si="1"/>
        <v>302.79700000000003</v>
      </c>
      <c r="AF13" s="38">
        <f t="shared" si="1"/>
        <v>293.51699999999994</v>
      </c>
      <c r="AG13" s="38">
        <f t="shared" si="1"/>
        <v>259.92899999999997</v>
      </c>
      <c r="AH13" s="38">
        <f t="shared" si="1"/>
        <v>167.80099999999999</v>
      </c>
      <c r="AI13" s="38">
        <f t="shared" si="1"/>
        <v>267.25699999999995</v>
      </c>
      <c r="AJ13" s="96">
        <f>AJ49+AJ46+AJ43+AJ40+AJ37+AJ34+AJ31+AJ28+AJ25+AJ22+AJ19+AJ16</f>
        <v>302.67</v>
      </c>
      <c r="AK13" s="58">
        <f>AJ13/$AJ$13*100</f>
        <v>100</v>
      </c>
      <c r="AL13" s="96">
        <f>AL49+AL46+AL43+AL40+AL37+AL34+AL31+AL28+AL25+AL22+AL19+AL16</f>
        <v>271.95799999999997</v>
      </c>
      <c r="AM13" s="40">
        <f>AL13/$AL$13*100</f>
        <v>100</v>
      </c>
      <c r="AN13" s="96">
        <f>AN49+AN46+AN43+AN40+AN37+AN34+AN31+AN28+AN25+AN22+AN19+AN16</f>
        <v>288.3</v>
      </c>
      <c r="AO13" s="41">
        <f>AN13/$AN$13*100</f>
        <v>100</v>
      </c>
      <c r="AP13" s="97">
        <f>SUM(AP16,AP19,AP22,AP25,AP28,AP31,AP34,AP37,AP40,AP43,AP46,AP49)</f>
        <v>309.09999999999997</v>
      </c>
      <c r="AQ13" s="58">
        <f>AQ49+AQ46+AQ43+AQ40+AQ37+AQ34+AQ31+AQ28+AQ25+AQ22+AQ19+AQ16</f>
        <v>100</v>
      </c>
      <c r="AR13" s="98">
        <f>SUM(AR16,AR19,AR22,AR25,AR28,AR31,AR34,AR37,AR40,AR43,AR46,AR49)</f>
        <v>321.59999999999997</v>
      </c>
      <c r="AS13" s="99">
        <v>100</v>
      </c>
      <c r="AT13" s="98">
        <f>SUM(AT16,AT19,AT22,AT25,AT28,AT31,AT34,AT37,AT40,AT43,AT46,AT49)</f>
        <v>345.40000000000003</v>
      </c>
      <c r="AU13" s="75">
        <v>100</v>
      </c>
      <c r="AV13" s="98">
        <f>SUM(AV16,AV19,AV22,AV25,AV28,AV31,AV34,AV37,AV40,AV43,AV46,AV49)</f>
        <v>382.79999999999995</v>
      </c>
      <c r="AW13" s="100">
        <f>AW49+AW46+AW43+AW40+AW37+AW34+AW31+AW28+AW25+AW22+AW19+AW16</f>
        <v>1</v>
      </c>
      <c r="AX13" s="98">
        <f>SUM(AX16,AX19,AX22,AX25,AX28,AX31,AX34,AX37,AX40,AX43,AX46,AX49)</f>
        <v>385.39999999999992</v>
      </c>
      <c r="AY13" s="100">
        <f>AY49+AY46+AY43+AY40+AY37+AY34+AY31+AY28+AY25+AY22+AY19+AY16</f>
        <v>1.0000000000000002</v>
      </c>
      <c r="AZ13" s="98">
        <f>SUM(AZ16,AZ19,AZ22,AZ25,AZ28,AZ31,AZ34,AZ37,AZ40,AZ43,AZ46,AZ49)</f>
        <v>385.5</v>
      </c>
      <c r="BA13" s="100">
        <f>BA49+BA46+BA43+BA40+BA37+BA34+BA31+BA28+BA25+BA22+BA19+BA16</f>
        <v>1</v>
      </c>
    </row>
    <row r="14" spans="3:64" x14ac:dyDescent="0.2"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46"/>
      <c r="Y14" s="46"/>
      <c r="Z14" s="46"/>
      <c r="AA14" s="46"/>
      <c r="AB14" s="47"/>
      <c r="AC14" s="48"/>
      <c r="AD14" s="48"/>
      <c r="AE14" s="48"/>
      <c r="AF14" s="48"/>
      <c r="AG14" s="48"/>
      <c r="AH14" s="48"/>
      <c r="AI14" s="48"/>
      <c r="AJ14" s="49"/>
      <c r="AK14" s="48"/>
      <c r="AL14" s="49"/>
      <c r="AM14" s="50"/>
      <c r="AN14" s="49"/>
      <c r="AO14" s="50"/>
      <c r="AP14" s="48"/>
      <c r="AQ14" s="48"/>
      <c r="AR14" s="49"/>
      <c r="AS14" s="51"/>
      <c r="AT14" s="49"/>
      <c r="AU14" s="51"/>
      <c r="AV14" s="49"/>
      <c r="AW14" s="51"/>
      <c r="AX14" s="49"/>
      <c r="AY14" s="51"/>
      <c r="AZ14" s="49"/>
      <c r="BA14" s="51"/>
    </row>
    <row r="15" spans="3:64" x14ac:dyDescent="0.2">
      <c r="AJ15" s="54"/>
      <c r="AL15" s="54"/>
      <c r="AM15" s="55"/>
      <c r="AN15" s="54"/>
      <c r="AO15" s="55"/>
      <c r="AR15" s="54"/>
      <c r="AS15" s="3"/>
      <c r="AT15" s="54"/>
      <c r="AU15" s="3"/>
      <c r="AV15" s="54"/>
      <c r="AW15" s="3"/>
      <c r="AX15" s="54"/>
      <c r="AY15" s="3"/>
      <c r="AZ15" s="54"/>
      <c r="BA15" s="3"/>
    </row>
    <row r="16" spans="3:64" x14ac:dyDescent="0.2">
      <c r="D16" s="4" t="s">
        <v>35</v>
      </c>
      <c r="E16" s="58">
        <v>5.0030000000000001</v>
      </c>
      <c r="F16" s="58">
        <v>5.9329999999999998</v>
      </c>
      <c r="G16" s="58">
        <v>6.1150000000000002</v>
      </c>
      <c r="H16" s="58">
        <v>6.4669999999999996</v>
      </c>
      <c r="I16" s="58">
        <v>7.7830000000000004</v>
      </c>
      <c r="J16" s="58">
        <v>9.7669999999999995</v>
      </c>
      <c r="K16" s="58">
        <v>11.667</v>
      </c>
      <c r="L16" s="58">
        <v>11.098000000000001</v>
      </c>
      <c r="M16" s="58">
        <v>10.855</v>
      </c>
      <c r="N16" s="58">
        <v>10.362</v>
      </c>
      <c r="O16" s="58">
        <v>10.788</v>
      </c>
      <c r="P16" s="58">
        <v>13.532</v>
      </c>
      <c r="Q16" s="58">
        <v>16.899999999999999</v>
      </c>
      <c r="R16" s="58">
        <v>20.3</v>
      </c>
      <c r="S16" s="58">
        <v>16.8</v>
      </c>
      <c r="T16" s="58">
        <v>19.899999999999999</v>
      </c>
      <c r="U16" s="58">
        <v>17.7</v>
      </c>
      <c r="V16" s="58">
        <v>18.2</v>
      </c>
      <c r="W16" s="58">
        <v>22.2</v>
      </c>
      <c r="X16" s="58">
        <v>26.5</v>
      </c>
      <c r="Y16" s="58">
        <v>28.6</v>
      </c>
      <c r="Z16" s="58">
        <v>32.6</v>
      </c>
      <c r="AA16" s="58">
        <v>34</v>
      </c>
      <c r="AB16" s="58">
        <v>34.700000000000003</v>
      </c>
      <c r="AC16" s="58">
        <f>35146/1000</f>
        <v>35.146000000000001</v>
      </c>
      <c r="AD16" s="58">
        <f>28953/1000</f>
        <v>28.952999999999999</v>
      </c>
      <c r="AE16" s="58">
        <f>24545/1000</f>
        <v>24.545000000000002</v>
      </c>
      <c r="AF16" s="58">
        <v>24.727</v>
      </c>
      <c r="AG16" s="58">
        <v>25.689</v>
      </c>
      <c r="AH16" s="56">
        <v>9.6010000000000009</v>
      </c>
      <c r="AI16" s="56">
        <v>20.163</v>
      </c>
      <c r="AJ16" s="60">
        <v>25.8</v>
      </c>
      <c r="AK16" s="58">
        <f>AJ16/$AJ$13*100</f>
        <v>8.5241351967489347</v>
      </c>
      <c r="AL16" s="60">
        <v>23.404</v>
      </c>
      <c r="AM16" s="40">
        <f>AL16/$AL$13*100</f>
        <v>8.6057405922973409</v>
      </c>
      <c r="AN16" s="61">
        <v>25</v>
      </c>
      <c r="AO16" s="41">
        <f>AN16/$AN$13*100</f>
        <v>8.6715227193895235</v>
      </c>
      <c r="AP16" s="102">
        <v>26.4</v>
      </c>
      <c r="AQ16" s="56">
        <f>AP16/$AP$13*100</f>
        <v>8.5409252669039155</v>
      </c>
      <c r="AR16" s="103">
        <v>26.3</v>
      </c>
      <c r="AS16" s="75">
        <f>AR16/$AR$13*100</f>
        <v>8.1778606965174134</v>
      </c>
      <c r="AT16" s="61">
        <v>28.7</v>
      </c>
      <c r="AU16" s="75">
        <f>AT16/$AR$13*100</f>
        <v>8.9241293532338304</v>
      </c>
      <c r="AV16" s="61">
        <v>31.4</v>
      </c>
      <c r="AW16" s="65">
        <f>AV16/AV13</f>
        <v>8.2027168234064793E-2</v>
      </c>
      <c r="AX16" s="61">
        <v>34.4</v>
      </c>
      <c r="AY16" s="65">
        <f>AX16/AX13</f>
        <v>8.9257913855734311E-2</v>
      </c>
      <c r="AZ16" s="61">
        <v>32.799999999999997</v>
      </c>
      <c r="BA16" s="65">
        <f>AZ16/AZ13</f>
        <v>8.5084306095979237E-2</v>
      </c>
      <c r="BG16" s="56"/>
      <c r="BH16" s="56"/>
      <c r="BI16" s="56"/>
      <c r="BJ16" s="56"/>
      <c r="BK16" s="56"/>
      <c r="BL16" s="56"/>
    </row>
    <row r="17" spans="4:64" x14ac:dyDescent="0.2"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62"/>
      <c r="AK17" s="47"/>
      <c r="AL17" s="62"/>
      <c r="AM17" s="63"/>
      <c r="AN17" s="62"/>
      <c r="AO17" s="63"/>
      <c r="AP17" s="47"/>
      <c r="AQ17" s="52"/>
      <c r="AR17" s="62"/>
      <c r="AS17" s="75"/>
      <c r="AT17" s="62"/>
      <c r="AU17" s="75"/>
      <c r="AV17" s="62"/>
      <c r="AW17" s="65"/>
      <c r="AX17" s="62"/>
      <c r="AY17" s="65"/>
      <c r="AZ17" s="62"/>
      <c r="BA17" s="65"/>
    </row>
    <row r="18" spans="4:64" x14ac:dyDescent="0.2">
      <c r="AA18" s="56"/>
      <c r="AD18" s="56"/>
      <c r="AF18" s="58"/>
      <c r="AH18" s="56"/>
      <c r="AI18" s="56"/>
      <c r="AJ18" s="54"/>
      <c r="AL18" s="54"/>
      <c r="AM18" s="55"/>
      <c r="AN18" s="54"/>
      <c r="AO18" s="55"/>
      <c r="AQ18" s="56"/>
      <c r="AR18" s="54"/>
      <c r="AS18" s="75"/>
      <c r="AT18" s="54"/>
      <c r="AU18" s="75"/>
      <c r="AV18" s="54"/>
      <c r="AW18" s="65"/>
      <c r="AX18" s="54"/>
      <c r="AY18" s="65"/>
      <c r="AZ18" s="54"/>
      <c r="BA18" s="65"/>
    </row>
    <row r="19" spans="4:64" x14ac:dyDescent="0.2">
      <c r="D19" s="4" t="s">
        <v>36</v>
      </c>
      <c r="E19" s="58">
        <v>5.0949999999999998</v>
      </c>
      <c r="F19" s="58">
        <v>6.2569999999999997</v>
      </c>
      <c r="G19" s="58">
        <v>7.05</v>
      </c>
      <c r="H19" s="58">
        <v>7.2469999999999999</v>
      </c>
      <c r="I19" s="58">
        <v>9.1869999999999994</v>
      </c>
      <c r="J19" s="58">
        <v>11.52</v>
      </c>
      <c r="K19" s="58">
        <v>12.026</v>
      </c>
      <c r="L19" s="58">
        <v>12.798</v>
      </c>
      <c r="M19" s="58">
        <v>13.555999999999999</v>
      </c>
      <c r="N19" s="58">
        <v>14.021000000000001</v>
      </c>
      <c r="O19" s="58">
        <v>14.342000000000001</v>
      </c>
      <c r="P19" s="58">
        <v>15.411</v>
      </c>
      <c r="Q19" s="58">
        <v>19.5</v>
      </c>
      <c r="R19" s="58">
        <v>22.7</v>
      </c>
      <c r="S19" s="58">
        <v>19.899999999999999</v>
      </c>
      <c r="T19" s="58">
        <v>22.9</v>
      </c>
      <c r="U19" s="58">
        <v>20.9</v>
      </c>
      <c r="V19" s="58">
        <v>23</v>
      </c>
      <c r="W19" s="58">
        <v>25.7</v>
      </c>
      <c r="X19" s="58">
        <v>28.6</v>
      </c>
      <c r="Y19" s="58">
        <v>31.3</v>
      </c>
      <c r="Z19" s="58">
        <v>34.9</v>
      </c>
      <c r="AA19" s="58">
        <v>35</v>
      </c>
      <c r="AB19" s="58">
        <v>37.299999999999997</v>
      </c>
      <c r="AC19" s="58">
        <f>35072/1000</f>
        <v>35.072000000000003</v>
      </c>
      <c r="AD19" s="58">
        <f>34008/1000</f>
        <v>34.008000000000003</v>
      </c>
      <c r="AE19" s="58">
        <f>28608/1000</f>
        <v>28.608000000000001</v>
      </c>
      <c r="AF19" s="58">
        <v>28.27</v>
      </c>
      <c r="AG19" s="58">
        <v>32.021999999999998</v>
      </c>
      <c r="AH19" s="56">
        <v>13.202</v>
      </c>
      <c r="AI19" s="56">
        <v>25.004000000000001</v>
      </c>
      <c r="AJ19" s="60">
        <v>30.38</v>
      </c>
      <c r="AK19" s="58">
        <f>AJ19/$AJ$13*100</f>
        <v>10.037334390590411</v>
      </c>
      <c r="AL19" s="60">
        <v>26.481999999999999</v>
      </c>
      <c r="AM19" s="40">
        <f>AL19/$AL$13*100</f>
        <v>9.7375330014193384</v>
      </c>
      <c r="AN19" s="61">
        <v>27.2</v>
      </c>
      <c r="AO19" s="41">
        <f>AN19/$AN$13*100</f>
        <v>9.4346167186958034</v>
      </c>
      <c r="AP19" s="56">
        <v>29.9</v>
      </c>
      <c r="AQ19" s="56">
        <f>AP19/$AP$13*100</f>
        <v>9.6732449045616313</v>
      </c>
      <c r="AR19" s="61">
        <v>31.1</v>
      </c>
      <c r="AS19" s="75">
        <f>AR19/$AR$13*100</f>
        <v>9.6703980099502491</v>
      </c>
      <c r="AT19" s="61">
        <v>32</v>
      </c>
      <c r="AU19" s="75">
        <f>AT19/$AR$13*100</f>
        <v>9.9502487562189064</v>
      </c>
      <c r="AV19" s="61">
        <v>33.799999999999997</v>
      </c>
      <c r="AW19" s="65">
        <f>AV19/AV13</f>
        <v>8.8296760710553812E-2</v>
      </c>
      <c r="AX19" s="61">
        <v>35.799999999999997</v>
      </c>
      <c r="AY19" s="65">
        <f>AX19/AX13</f>
        <v>9.2890503373118855E-2</v>
      </c>
      <c r="AZ19" s="61">
        <v>34.799999999999997</v>
      </c>
      <c r="BA19" s="65">
        <f>AZ19/AZ13</f>
        <v>9.027237354085603E-2</v>
      </c>
      <c r="BG19" s="56"/>
      <c r="BH19" s="56"/>
      <c r="BI19" s="56"/>
      <c r="BJ19" s="56"/>
      <c r="BK19" s="56"/>
      <c r="BL19" s="56"/>
    </row>
    <row r="20" spans="4:64" x14ac:dyDescent="0.2"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62"/>
      <c r="AK20" s="47"/>
      <c r="AL20" s="62"/>
      <c r="AM20" s="63"/>
      <c r="AN20" s="62"/>
      <c r="AO20" s="63"/>
      <c r="AP20" s="47"/>
      <c r="AQ20" s="52"/>
      <c r="AR20" s="62"/>
      <c r="AS20" s="75"/>
      <c r="AT20" s="62"/>
      <c r="AU20" s="75"/>
      <c r="AV20" s="62"/>
      <c r="AW20" s="65"/>
      <c r="AX20" s="62"/>
      <c r="AY20" s="65"/>
      <c r="AZ20" s="62"/>
      <c r="BA20" s="65"/>
    </row>
    <row r="21" spans="4:64" x14ac:dyDescent="0.2">
      <c r="Z21" s="58"/>
      <c r="AA21" s="58"/>
      <c r="AB21" s="58"/>
      <c r="AC21" s="58"/>
      <c r="AD21" s="58"/>
      <c r="AE21" s="58"/>
      <c r="AF21" s="58"/>
      <c r="AG21" s="58"/>
      <c r="AH21" s="56"/>
      <c r="AI21" s="56"/>
      <c r="AJ21" s="54"/>
      <c r="AL21" s="54"/>
      <c r="AM21" s="55"/>
      <c r="AN21" s="54"/>
      <c r="AO21" s="55"/>
      <c r="AQ21" s="56"/>
      <c r="AR21" s="54"/>
      <c r="AS21" s="75"/>
      <c r="AT21" s="54"/>
      <c r="AU21" s="75"/>
      <c r="AV21" s="54"/>
      <c r="AW21" s="65"/>
      <c r="AX21" s="54"/>
      <c r="AY21" s="65"/>
      <c r="AZ21" s="54"/>
      <c r="BA21" s="65"/>
    </row>
    <row r="22" spans="4:64" x14ac:dyDescent="0.2">
      <c r="D22" s="4" t="s">
        <v>37</v>
      </c>
      <c r="E22" s="58">
        <v>5.8860000000000001</v>
      </c>
      <c r="F22" s="58">
        <v>6.1280000000000001</v>
      </c>
      <c r="G22" s="58">
        <v>7.0389999999999997</v>
      </c>
      <c r="H22" s="58">
        <v>8.3469999999999995</v>
      </c>
      <c r="I22" s="58">
        <v>10.43</v>
      </c>
      <c r="J22" s="58">
        <v>12.856999999999999</v>
      </c>
      <c r="K22" s="58">
        <v>12.816000000000001</v>
      </c>
      <c r="L22" s="58">
        <v>13.185</v>
      </c>
      <c r="M22" s="58">
        <v>15.617000000000001</v>
      </c>
      <c r="N22" s="58">
        <v>16.003</v>
      </c>
      <c r="O22" s="58">
        <v>17.07</v>
      </c>
      <c r="P22" s="58">
        <v>19.867000000000001</v>
      </c>
      <c r="Q22" s="58">
        <v>22.5</v>
      </c>
      <c r="R22" s="58">
        <v>25.2</v>
      </c>
      <c r="S22" s="58">
        <v>23</v>
      </c>
      <c r="T22" s="58">
        <v>26.3</v>
      </c>
      <c r="U22" s="58">
        <v>27.4</v>
      </c>
      <c r="V22" s="58">
        <v>23.3</v>
      </c>
      <c r="W22" s="58">
        <v>29.4</v>
      </c>
      <c r="X22" s="58">
        <v>34.799999999999997</v>
      </c>
      <c r="Y22" s="58">
        <v>37.4</v>
      </c>
      <c r="Z22" s="58">
        <v>40.1</v>
      </c>
      <c r="AA22" s="58">
        <v>44.5</v>
      </c>
      <c r="AB22" s="58">
        <v>42.8</v>
      </c>
      <c r="AC22" s="58">
        <f>41805/1000</f>
        <v>41.805</v>
      </c>
      <c r="AD22" s="58">
        <f>41558/1000</f>
        <v>41.558</v>
      </c>
      <c r="AE22" s="58">
        <f>39378/1000</f>
        <v>39.378</v>
      </c>
      <c r="AF22" s="58">
        <v>34.420999999999999</v>
      </c>
      <c r="AG22" s="58">
        <v>37.247999999999998</v>
      </c>
      <c r="AH22" s="56">
        <v>18.809999999999999</v>
      </c>
      <c r="AI22" s="56">
        <v>31.492999999999999</v>
      </c>
      <c r="AJ22" s="60">
        <v>38.4</v>
      </c>
      <c r="AK22" s="58">
        <f>AJ22/$AJ$13*100</f>
        <v>12.687084943998414</v>
      </c>
      <c r="AL22" s="60">
        <v>31.193999999999999</v>
      </c>
      <c r="AM22" s="40">
        <f>AL22/$AL$13*100</f>
        <v>11.470153479581407</v>
      </c>
      <c r="AN22" s="61">
        <v>35.6</v>
      </c>
      <c r="AO22" s="41">
        <f>AN22/$AN$13*100</f>
        <v>12.348248352410684</v>
      </c>
      <c r="AP22" s="56">
        <v>37.5</v>
      </c>
      <c r="AQ22" s="56">
        <f>AP22/$AP$13*100</f>
        <v>12.131996117761243</v>
      </c>
      <c r="AR22" s="61">
        <v>38.700000000000003</v>
      </c>
      <c r="AS22" s="75">
        <f>AR22/$AR$13*100</f>
        <v>12.033582089552242</v>
      </c>
      <c r="AT22" s="61">
        <v>43.3</v>
      </c>
      <c r="AU22" s="75">
        <f>AT22/$AR$13*100</f>
        <v>13.463930348258707</v>
      </c>
      <c r="AV22" s="61">
        <v>44.2</v>
      </c>
      <c r="AW22" s="65">
        <f>AV22/AV13</f>
        <v>0.11546499477533963</v>
      </c>
      <c r="AX22" s="61">
        <v>45.5</v>
      </c>
      <c r="AY22" s="65">
        <f>AX22/AX13</f>
        <v>0.11805915931499743</v>
      </c>
      <c r="AZ22" s="61">
        <v>45.2</v>
      </c>
      <c r="BA22" s="65">
        <f>AZ22/AZ13</f>
        <v>0.11725032425421532</v>
      </c>
      <c r="BG22" s="56"/>
      <c r="BH22" s="56"/>
      <c r="BI22" s="56"/>
      <c r="BJ22" s="56"/>
      <c r="BK22" s="56"/>
      <c r="BL22" s="56"/>
    </row>
    <row r="23" spans="4:64" x14ac:dyDescent="0.2"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62"/>
      <c r="AK23" s="47"/>
      <c r="AL23" s="62"/>
      <c r="AM23" s="63"/>
      <c r="AN23" s="62"/>
      <c r="AO23" s="63"/>
      <c r="AP23" s="47"/>
      <c r="AQ23" s="52"/>
      <c r="AR23" s="62"/>
      <c r="AS23" s="75"/>
      <c r="AT23" s="62"/>
      <c r="AU23" s="75"/>
      <c r="AV23" s="62"/>
      <c r="AW23" s="65"/>
      <c r="AX23" s="62"/>
      <c r="AY23" s="65"/>
      <c r="AZ23" s="62"/>
      <c r="BA23" s="65"/>
    </row>
    <row r="24" spans="4:64" x14ac:dyDescent="0.2">
      <c r="AD24" s="56"/>
      <c r="AF24" s="58"/>
      <c r="AH24" s="56"/>
      <c r="AI24" s="56"/>
      <c r="AJ24" s="54"/>
      <c r="AL24" s="54"/>
      <c r="AM24" s="55"/>
      <c r="AN24" s="54"/>
      <c r="AO24" s="55"/>
      <c r="AQ24" s="56"/>
      <c r="AR24" s="54"/>
      <c r="AS24" s="75"/>
      <c r="AT24" s="54"/>
      <c r="AU24" s="75"/>
      <c r="AV24" s="54"/>
      <c r="AW24" s="65"/>
      <c r="AX24" s="54"/>
      <c r="AY24" s="65"/>
      <c r="AZ24" s="54"/>
      <c r="BA24" s="65"/>
    </row>
    <row r="25" spans="4:64" x14ac:dyDescent="0.2">
      <c r="D25" s="4" t="s">
        <v>38</v>
      </c>
      <c r="E25" s="58">
        <v>3.8140000000000001</v>
      </c>
      <c r="F25" s="58">
        <v>5.6920000000000002</v>
      </c>
      <c r="G25" s="58">
        <v>6.2679999999999998</v>
      </c>
      <c r="H25" s="58">
        <v>6.0259999999999998</v>
      </c>
      <c r="I25" s="58">
        <v>8.5299999999999994</v>
      </c>
      <c r="J25" s="58">
        <v>10.004</v>
      </c>
      <c r="K25" s="58">
        <v>10.225</v>
      </c>
      <c r="L25" s="58">
        <v>10.972</v>
      </c>
      <c r="M25" s="58">
        <v>10.343999999999999</v>
      </c>
      <c r="N25" s="58">
        <v>11.835000000000001</v>
      </c>
      <c r="O25" s="58">
        <v>10.638</v>
      </c>
      <c r="P25" s="58">
        <v>12.491</v>
      </c>
      <c r="Q25" s="58">
        <v>18.7</v>
      </c>
      <c r="R25" s="58">
        <v>19.100000000000001</v>
      </c>
      <c r="S25" s="58">
        <v>17.3</v>
      </c>
      <c r="T25" s="58">
        <v>23.1</v>
      </c>
      <c r="U25" s="58">
        <v>20.9</v>
      </c>
      <c r="V25" s="58">
        <v>21.6</v>
      </c>
      <c r="W25" s="58">
        <v>26.5</v>
      </c>
      <c r="X25" s="58">
        <v>30.3</v>
      </c>
      <c r="Y25" s="58">
        <v>34.4</v>
      </c>
      <c r="Z25" s="58">
        <v>34.6</v>
      </c>
      <c r="AA25" s="58">
        <v>33.200000000000003</v>
      </c>
      <c r="AB25" s="58">
        <v>41.1</v>
      </c>
      <c r="AC25" s="58">
        <v>36.799999999999997</v>
      </c>
      <c r="AD25" s="58">
        <f>35566/1000</f>
        <v>35.566000000000003</v>
      </c>
      <c r="AE25" s="58">
        <f>26768/1000</f>
        <v>26.768000000000001</v>
      </c>
      <c r="AF25" s="58">
        <v>27.806999999999999</v>
      </c>
      <c r="AG25" s="58">
        <v>33.902999999999999</v>
      </c>
      <c r="AH25" s="56">
        <v>15.423</v>
      </c>
      <c r="AI25" s="56">
        <v>28.402999999999999</v>
      </c>
      <c r="AJ25" s="60">
        <v>29.97</v>
      </c>
      <c r="AK25" s="58">
        <f>AJ25/$AJ$13*100</f>
        <v>9.9018733273862605</v>
      </c>
      <c r="AL25" s="60">
        <v>27.972999999999999</v>
      </c>
      <c r="AM25" s="40">
        <f>AL25/$AL$13*100</f>
        <v>10.285779421822488</v>
      </c>
      <c r="AN25" s="61">
        <v>27.4</v>
      </c>
      <c r="AO25" s="41">
        <f>AN25/$AN$13*100</f>
        <v>9.5039889004509188</v>
      </c>
      <c r="AP25" s="56">
        <v>30.8</v>
      </c>
      <c r="AQ25" s="56">
        <f>AP25/$AP$13*100</f>
        <v>9.964412811387902</v>
      </c>
      <c r="AR25" s="61">
        <v>30</v>
      </c>
      <c r="AS25" s="75">
        <f>AR25/$AR$13*100</f>
        <v>9.3283582089552244</v>
      </c>
      <c r="AT25" s="61">
        <v>29.2</v>
      </c>
      <c r="AU25" s="75">
        <f>AT25/$AR$13*100</f>
        <v>9.0796019900497509</v>
      </c>
      <c r="AV25" s="61">
        <v>35.799999999999997</v>
      </c>
      <c r="AW25" s="65">
        <f>AV25/AV13</f>
        <v>9.3521421107628011E-2</v>
      </c>
      <c r="AX25" s="61">
        <v>36</v>
      </c>
      <c r="AY25" s="65">
        <f>AX25/AX13</f>
        <v>9.340944473274522E-2</v>
      </c>
      <c r="AZ25" s="61">
        <v>34.6</v>
      </c>
      <c r="BA25" s="65">
        <f>AZ25/AZ13</f>
        <v>8.9753566796368353E-2</v>
      </c>
      <c r="BG25" s="56"/>
      <c r="BH25" s="56"/>
      <c r="BI25" s="56"/>
      <c r="BJ25" s="56"/>
      <c r="BK25" s="56"/>
      <c r="BL25" s="56"/>
    </row>
    <row r="26" spans="4:64" x14ac:dyDescent="0.2"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62"/>
      <c r="AK26" s="47"/>
      <c r="AL26" s="62"/>
      <c r="AM26" s="63"/>
      <c r="AN26" s="62"/>
      <c r="AO26" s="63"/>
      <c r="AP26" s="47"/>
      <c r="AQ26" s="52"/>
      <c r="AR26" s="62"/>
      <c r="AS26" s="75"/>
      <c r="AT26" s="62"/>
      <c r="AU26" s="75"/>
      <c r="AV26" s="62"/>
      <c r="AW26" s="65"/>
      <c r="AX26" s="62"/>
      <c r="AY26" s="65"/>
      <c r="AZ26" s="62"/>
      <c r="BA26" s="65"/>
    </row>
    <row r="27" spans="4:64" x14ac:dyDescent="0.2">
      <c r="R27" s="4" t="s">
        <v>13</v>
      </c>
      <c r="AD27" s="56"/>
      <c r="AF27" s="58"/>
      <c r="AH27" s="56"/>
      <c r="AI27" s="56"/>
      <c r="AJ27" s="54"/>
      <c r="AL27" s="54"/>
      <c r="AM27" s="55"/>
      <c r="AN27" s="54"/>
      <c r="AO27" s="55"/>
      <c r="AQ27" s="56"/>
      <c r="AR27" s="54"/>
      <c r="AS27" s="75"/>
      <c r="AT27" s="54"/>
      <c r="AU27" s="75"/>
      <c r="AV27" s="54"/>
      <c r="AW27" s="65"/>
      <c r="AX27" s="54"/>
      <c r="AY27" s="65"/>
      <c r="AZ27" s="54"/>
      <c r="BA27" s="65"/>
    </row>
    <row r="28" spans="4:64" x14ac:dyDescent="0.2">
      <c r="D28" s="4" t="s">
        <v>39</v>
      </c>
      <c r="E28" s="58">
        <v>3.8029999999999999</v>
      </c>
      <c r="F28" s="58">
        <v>4.9429999999999996</v>
      </c>
      <c r="G28" s="58">
        <v>5.0439999999999996</v>
      </c>
      <c r="H28" s="58">
        <v>5.5410000000000004</v>
      </c>
      <c r="I28" s="58">
        <v>8.1530000000000005</v>
      </c>
      <c r="J28" s="58">
        <v>10.204000000000001</v>
      </c>
      <c r="K28" s="58">
        <v>11.31</v>
      </c>
      <c r="L28" s="58">
        <v>10.032</v>
      </c>
      <c r="M28" s="58">
        <v>10.689</v>
      </c>
      <c r="N28" s="58">
        <v>11.861000000000001</v>
      </c>
      <c r="O28" s="58">
        <v>11.3</v>
      </c>
      <c r="P28" s="58">
        <v>12.9</v>
      </c>
      <c r="Q28" s="58">
        <v>16.3</v>
      </c>
      <c r="R28" s="58">
        <v>17.5</v>
      </c>
      <c r="S28" s="58">
        <v>15</v>
      </c>
      <c r="T28" s="58">
        <v>20.100000000000001</v>
      </c>
      <c r="U28" s="58">
        <v>19.5</v>
      </c>
      <c r="V28" s="58">
        <v>17.899999999999999</v>
      </c>
      <c r="W28" s="58">
        <v>22</v>
      </c>
      <c r="X28" s="58">
        <v>26.9</v>
      </c>
      <c r="Y28" s="58">
        <v>28.8</v>
      </c>
      <c r="Z28" s="58">
        <v>29.2</v>
      </c>
      <c r="AA28" s="58">
        <v>29.2</v>
      </c>
      <c r="AB28" s="58">
        <v>33.1</v>
      </c>
      <c r="AC28" s="58">
        <v>31.9</v>
      </c>
      <c r="AD28" s="58">
        <f>27023/1000</f>
        <v>27.023</v>
      </c>
      <c r="AE28" s="58">
        <f>23229/1000</f>
        <v>23.228999999999999</v>
      </c>
      <c r="AF28" s="58">
        <v>20.908999999999999</v>
      </c>
      <c r="AG28" s="58">
        <v>25.501999999999999</v>
      </c>
      <c r="AH28" s="56">
        <v>12.061</v>
      </c>
      <c r="AI28" s="56">
        <v>21.172000000000001</v>
      </c>
      <c r="AJ28" s="60">
        <v>25.7</v>
      </c>
      <c r="AK28" s="58">
        <f>AJ28/$AJ$13*100</f>
        <v>8.4910959130406045</v>
      </c>
      <c r="AL28" s="60">
        <v>21.437999999999999</v>
      </c>
      <c r="AM28" s="40">
        <f>AL28/$AL$13*100</f>
        <v>7.8828348494988196</v>
      </c>
      <c r="AN28" s="61">
        <v>21.8</v>
      </c>
      <c r="AO28" s="41">
        <f>AN28/$AN$13*100</f>
        <v>7.5615678113076648</v>
      </c>
      <c r="AP28" s="56">
        <v>23.4</v>
      </c>
      <c r="AQ28" s="56">
        <f>AP28/$AP$13*100</f>
        <v>7.570365577483015</v>
      </c>
      <c r="AR28" s="61">
        <v>25.2</v>
      </c>
      <c r="AS28" s="75">
        <f>AR28/$AR$13*100</f>
        <v>7.8358208955223887</v>
      </c>
      <c r="AT28" s="61">
        <v>27.3</v>
      </c>
      <c r="AU28" s="75">
        <f>AT28/$AR$13*100</f>
        <v>8.4888059701492544</v>
      </c>
      <c r="AV28" s="61">
        <v>31.1</v>
      </c>
      <c r="AW28" s="65">
        <f>AV28/AV13</f>
        <v>8.1243469174503674E-2</v>
      </c>
      <c r="AX28" s="61">
        <v>29.2</v>
      </c>
      <c r="AY28" s="65">
        <f>AX28/AX13</f>
        <v>7.5765438505448895E-2</v>
      </c>
      <c r="AZ28" s="61">
        <v>28.8</v>
      </c>
      <c r="BA28" s="65">
        <f>AZ28/AZ13</f>
        <v>7.4708171206225679E-2</v>
      </c>
      <c r="BG28" s="56"/>
      <c r="BH28" s="56"/>
      <c r="BI28" s="56"/>
      <c r="BJ28" s="56"/>
      <c r="BK28" s="56"/>
      <c r="BL28" s="56"/>
    </row>
    <row r="29" spans="4:64" x14ac:dyDescent="0.2"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62"/>
      <c r="AK29" s="47"/>
      <c r="AL29" s="62"/>
      <c r="AM29" s="63"/>
      <c r="AN29" s="62"/>
      <c r="AO29" s="63"/>
      <c r="AP29" s="47"/>
      <c r="AQ29" s="52"/>
      <c r="AR29" s="62"/>
      <c r="AS29" s="75"/>
      <c r="AT29" s="62"/>
      <c r="AU29" s="75"/>
      <c r="AV29" s="62"/>
      <c r="AW29" s="65"/>
      <c r="AX29" s="62"/>
      <c r="AY29" s="65"/>
      <c r="AZ29" s="62"/>
      <c r="BA29" s="65"/>
    </row>
    <row r="30" spans="4:64" x14ac:dyDescent="0.2">
      <c r="AD30" s="56"/>
      <c r="AE30" s="56"/>
      <c r="AF30" s="58"/>
      <c r="AH30" s="56"/>
      <c r="AI30" s="56"/>
      <c r="AJ30" s="54"/>
      <c r="AL30" s="54"/>
      <c r="AM30" s="55"/>
      <c r="AN30" s="54"/>
      <c r="AO30" s="55"/>
      <c r="AQ30" s="56"/>
      <c r="AR30" s="54"/>
      <c r="AS30" s="75"/>
      <c r="AT30" s="54"/>
      <c r="AU30" s="75"/>
      <c r="AV30" s="54"/>
      <c r="AW30" s="65"/>
      <c r="AX30" s="54"/>
      <c r="AY30" s="65"/>
      <c r="AZ30" s="54"/>
      <c r="BA30" s="65"/>
    </row>
    <row r="31" spans="4:64" x14ac:dyDescent="0.2">
      <c r="D31" s="4" t="s">
        <v>40</v>
      </c>
      <c r="E31" s="58">
        <v>4.125</v>
      </c>
      <c r="F31" s="58">
        <v>4.37</v>
      </c>
      <c r="G31" s="58">
        <v>4.444</v>
      </c>
      <c r="H31" s="58">
        <v>6.1959999999999997</v>
      </c>
      <c r="I31" s="58">
        <v>7.931</v>
      </c>
      <c r="J31" s="58">
        <v>9.7750000000000004</v>
      </c>
      <c r="K31" s="58">
        <v>9.7379999999999995</v>
      </c>
      <c r="L31" s="58">
        <v>8.9640000000000004</v>
      </c>
      <c r="M31" s="58">
        <v>10.79</v>
      </c>
      <c r="N31" s="58">
        <v>13.228</v>
      </c>
      <c r="O31" s="58">
        <v>11.407999999999999</v>
      </c>
      <c r="P31" s="58">
        <v>13.65</v>
      </c>
      <c r="Q31" s="58">
        <v>15.8</v>
      </c>
      <c r="R31" s="58">
        <v>17.100000000000001</v>
      </c>
      <c r="S31" s="58">
        <v>16.600000000000001</v>
      </c>
      <c r="T31" s="58">
        <v>21.7</v>
      </c>
      <c r="U31" s="58">
        <v>20.8</v>
      </c>
      <c r="V31" s="58">
        <v>20.100000000000001</v>
      </c>
      <c r="W31" s="58">
        <v>22.1</v>
      </c>
      <c r="X31" s="58">
        <v>28.8</v>
      </c>
      <c r="Y31" s="58">
        <v>30.2</v>
      </c>
      <c r="Z31" s="58">
        <v>31.7</v>
      </c>
      <c r="AA31" s="58">
        <v>30.1</v>
      </c>
      <c r="AB31" s="58">
        <v>33</v>
      </c>
      <c r="AC31" s="58">
        <v>33.5</v>
      </c>
      <c r="AD31" s="58">
        <f>29986/1000</f>
        <v>29.986000000000001</v>
      </c>
      <c r="AE31" s="58">
        <f>27017/1000</f>
        <v>27.016999999999999</v>
      </c>
      <c r="AF31" s="58">
        <v>24.661999999999999</v>
      </c>
      <c r="AG31" s="58">
        <v>26.89</v>
      </c>
      <c r="AH31" s="56">
        <v>14.007999999999999</v>
      </c>
      <c r="AI31" s="56">
        <v>24.251000000000001</v>
      </c>
      <c r="AJ31" s="60">
        <v>27.97</v>
      </c>
      <c r="AK31" s="58">
        <f>AJ31/$AJ$13*100</f>
        <v>9.2410876532196777</v>
      </c>
      <c r="AL31" s="60">
        <v>24.149000000000001</v>
      </c>
      <c r="AM31" s="40">
        <f>AL31/$AL$13*100</f>
        <v>8.8796799505806057</v>
      </c>
      <c r="AN31" s="61">
        <v>25</v>
      </c>
      <c r="AO31" s="41">
        <f>AN31/$AN$13*100</f>
        <v>8.6715227193895235</v>
      </c>
      <c r="AP31" s="56">
        <v>27</v>
      </c>
      <c r="AQ31" s="56">
        <f>AP31/$AP$13*100</f>
        <v>8.735037204788096</v>
      </c>
      <c r="AR31" s="61">
        <v>29.7</v>
      </c>
      <c r="AS31" s="75">
        <f>AR31/$AR$13*100</f>
        <v>9.2350746268656714</v>
      </c>
      <c r="AT31" s="61">
        <v>31.9</v>
      </c>
      <c r="AU31" s="75">
        <f>AT31/$AR$13*100</f>
        <v>9.9191542288557208</v>
      </c>
      <c r="AV31" s="61">
        <v>34.1</v>
      </c>
      <c r="AW31" s="65">
        <f>AV31/AV13</f>
        <v>8.9080459770114959E-2</v>
      </c>
      <c r="AX31" s="61">
        <v>32.6</v>
      </c>
      <c r="AY31" s="65">
        <f>AX31/AX13</f>
        <v>8.4587441619097065E-2</v>
      </c>
      <c r="AZ31" s="61">
        <v>34.299999999999997</v>
      </c>
      <c r="BA31" s="65">
        <f>AZ31/AZ13</f>
        <v>8.8975356679636824E-2</v>
      </c>
      <c r="BG31" s="56"/>
      <c r="BH31" s="56"/>
      <c r="BI31" s="56"/>
      <c r="BJ31" s="56"/>
      <c r="BK31" s="56"/>
      <c r="BL31" s="56"/>
    </row>
    <row r="32" spans="4:64" x14ac:dyDescent="0.2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62"/>
      <c r="AK32" s="47"/>
      <c r="AL32" s="62"/>
      <c r="AM32" s="63"/>
      <c r="AN32" s="62"/>
      <c r="AO32" s="63"/>
      <c r="AP32" s="47"/>
      <c r="AQ32" s="52"/>
      <c r="AR32" s="62"/>
      <c r="AS32" s="75"/>
      <c r="AT32" s="62"/>
      <c r="AU32" s="75"/>
      <c r="AV32" s="62"/>
      <c r="AW32" s="65"/>
      <c r="AX32" s="62"/>
      <c r="AY32" s="65"/>
      <c r="AZ32" s="62"/>
      <c r="BA32" s="65"/>
    </row>
    <row r="33" spans="4:64" x14ac:dyDescent="0.2">
      <c r="AA33" s="56"/>
      <c r="AD33" s="56"/>
      <c r="AE33" s="56"/>
      <c r="AF33" s="58"/>
      <c r="AH33" s="56"/>
      <c r="AI33" s="56"/>
      <c r="AJ33" s="54"/>
      <c r="AL33" s="54"/>
      <c r="AM33" s="55"/>
      <c r="AN33" s="54"/>
      <c r="AO33" s="55"/>
      <c r="AQ33" s="56"/>
      <c r="AR33" s="54"/>
      <c r="AS33" s="75"/>
      <c r="AT33" s="54"/>
      <c r="AU33" s="75"/>
      <c r="AV33" s="54"/>
      <c r="AW33" s="65"/>
      <c r="AX33" s="54"/>
      <c r="AY33" s="65"/>
      <c r="AZ33" s="54"/>
      <c r="BA33" s="65"/>
    </row>
    <row r="34" spans="4:64" x14ac:dyDescent="0.2">
      <c r="D34" s="4" t="s">
        <v>41</v>
      </c>
      <c r="E34" s="58">
        <v>4.5739999999999998</v>
      </c>
      <c r="F34" s="58">
        <v>5.4630000000000001</v>
      </c>
      <c r="G34" s="58">
        <v>5.2930000000000001</v>
      </c>
      <c r="H34" s="58">
        <v>6.7210000000000001</v>
      </c>
      <c r="I34" s="58">
        <v>8.4600000000000009</v>
      </c>
      <c r="J34" s="58">
        <v>9.6560000000000006</v>
      </c>
      <c r="K34" s="58">
        <v>10.204000000000001</v>
      </c>
      <c r="L34" s="58">
        <v>10.198</v>
      </c>
      <c r="M34" s="58">
        <v>11.489000000000001</v>
      </c>
      <c r="N34" s="58">
        <v>12.593999999999999</v>
      </c>
      <c r="O34" s="58">
        <v>11.595000000000001</v>
      </c>
      <c r="P34" s="58">
        <v>13.863</v>
      </c>
      <c r="Q34" s="58">
        <v>17.8</v>
      </c>
      <c r="R34" s="58">
        <v>18.8</v>
      </c>
      <c r="S34" s="58">
        <v>17.399999999999999</v>
      </c>
      <c r="T34" s="58">
        <v>21.2</v>
      </c>
      <c r="U34" s="58">
        <v>20.2</v>
      </c>
      <c r="V34" s="58">
        <v>21.4</v>
      </c>
      <c r="W34" s="58">
        <v>25.5</v>
      </c>
      <c r="X34" s="58">
        <v>32.9</v>
      </c>
      <c r="Y34" s="58">
        <v>32.5</v>
      </c>
      <c r="Z34" s="58">
        <v>31.8</v>
      </c>
      <c r="AA34" s="58">
        <v>34</v>
      </c>
      <c r="AB34" s="58">
        <v>36.700000000000003</v>
      </c>
      <c r="AC34" s="58">
        <v>37.5</v>
      </c>
      <c r="AD34" s="58">
        <f>32255/1000</f>
        <v>32.255000000000003</v>
      </c>
      <c r="AE34" s="58">
        <f>28844/1000</f>
        <v>28.844000000000001</v>
      </c>
      <c r="AF34" s="58">
        <v>26.491</v>
      </c>
      <c r="AG34" s="58">
        <v>33.118000000000002</v>
      </c>
      <c r="AH34" s="56">
        <v>16.61</v>
      </c>
      <c r="AI34" s="56">
        <v>24.256</v>
      </c>
      <c r="AJ34" s="60">
        <v>30</v>
      </c>
      <c r="AK34" s="58">
        <f>AJ34/$AJ$13*100</f>
        <v>9.9117851124987606</v>
      </c>
      <c r="AL34" s="60">
        <v>25.774999999999999</v>
      </c>
      <c r="AM34" s="40">
        <f>AL34/$AL$13*100</f>
        <v>9.477566388927702</v>
      </c>
      <c r="AN34" s="61">
        <v>29.2</v>
      </c>
      <c r="AO34" s="41">
        <f>AN34/$AN$13*100</f>
        <v>10.128338536246964</v>
      </c>
      <c r="AP34" s="56">
        <v>31.4</v>
      </c>
      <c r="AQ34" s="56">
        <f>AP34/$AP$13*100</f>
        <v>10.158524749272081</v>
      </c>
      <c r="AR34" s="61">
        <v>32.6</v>
      </c>
      <c r="AS34" s="75">
        <f>AR34/$AR$13*100</f>
        <v>10.136815920398011</v>
      </c>
      <c r="AT34" s="61">
        <v>33.9</v>
      </c>
      <c r="AU34" s="75">
        <f>AT34/$AR$13*100</f>
        <v>10.541044776119405</v>
      </c>
      <c r="AV34" s="61">
        <v>39.200000000000003</v>
      </c>
      <c r="AW34" s="65">
        <f>AV34/AV13</f>
        <v>0.10240334378265414</v>
      </c>
      <c r="AX34" s="61">
        <v>37.799999999999997</v>
      </c>
      <c r="AY34" s="65">
        <f>AX34/AX13</f>
        <v>9.8079916969382466E-2</v>
      </c>
      <c r="AZ34" s="61">
        <v>42.7</v>
      </c>
      <c r="BA34" s="65">
        <f>AZ34/AZ13</f>
        <v>0.11076523994811933</v>
      </c>
      <c r="BG34" s="56"/>
      <c r="BH34" s="56"/>
      <c r="BI34" s="56"/>
      <c r="BJ34" s="56"/>
      <c r="BK34" s="56"/>
      <c r="BL34" s="56"/>
    </row>
    <row r="35" spans="4:64" x14ac:dyDescent="0.2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62"/>
      <c r="AK35" s="47"/>
      <c r="AL35" s="62"/>
      <c r="AM35" s="63"/>
      <c r="AN35" s="62"/>
      <c r="AO35" s="63"/>
      <c r="AP35" s="47"/>
      <c r="AQ35" s="52"/>
      <c r="AR35" s="62"/>
      <c r="AS35" s="75"/>
      <c r="AT35" s="62"/>
      <c r="AU35" s="75"/>
      <c r="AV35" s="62"/>
      <c r="AW35" s="65"/>
      <c r="AX35" s="62"/>
      <c r="AY35" s="65"/>
      <c r="AZ35" s="62"/>
      <c r="BA35" s="65"/>
    </row>
    <row r="36" spans="4:64" x14ac:dyDescent="0.2">
      <c r="AA36" s="56"/>
      <c r="AD36" s="56"/>
      <c r="AE36" s="56"/>
      <c r="AF36" s="58"/>
      <c r="AH36" s="56"/>
      <c r="AI36" s="56"/>
      <c r="AJ36" s="54"/>
      <c r="AL36" s="54"/>
      <c r="AM36" s="55"/>
      <c r="AN36" s="54"/>
      <c r="AO36" s="55"/>
      <c r="AQ36" s="56"/>
      <c r="AR36" s="54"/>
      <c r="AS36" s="75"/>
      <c r="AT36" s="54"/>
      <c r="AU36" s="75"/>
      <c r="AV36" s="54"/>
      <c r="AW36" s="65"/>
      <c r="AX36" s="54"/>
      <c r="AY36" s="65"/>
      <c r="AZ36" s="54"/>
      <c r="BA36" s="65"/>
    </row>
    <row r="37" spans="4:64" x14ac:dyDescent="0.2">
      <c r="D37" s="4" t="s">
        <v>42</v>
      </c>
      <c r="E37" s="58">
        <v>5.1859999999999999</v>
      </c>
      <c r="F37" s="58">
        <v>5.81</v>
      </c>
      <c r="G37" s="58">
        <v>5.7880000000000003</v>
      </c>
      <c r="H37" s="58">
        <v>7.3289999999999997</v>
      </c>
      <c r="I37" s="58">
        <v>9.0030000000000001</v>
      </c>
      <c r="J37" s="58">
        <v>9.8759999999999994</v>
      </c>
      <c r="K37" s="58">
        <v>9.8919999999999995</v>
      </c>
      <c r="L37" s="58">
        <v>9.0039999999999996</v>
      </c>
      <c r="M37" s="58">
        <v>10.032999999999999</v>
      </c>
      <c r="N37" s="58">
        <v>13.03</v>
      </c>
      <c r="O37" s="58">
        <v>12.561999999999999</v>
      </c>
      <c r="P37" s="58">
        <v>14.914</v>
      </c>
      <c r="Q37" s="58">
        <v>18.600000000000001</v>
      </c>
      <c r="R37" s="58">
        <v>18</v>
      </c>
      <c r="S37" s="58">
        <v>16.399999999999999</v>
      </c>
      <c r="T37" s="58">
        <v>22.8</v>
      </c>
      <c r="U37" s="58">
        <v>22.5</v>
      </c>
      <c r="V37" s="58">
        <v>21.2</v>
      </c>
      <c r="W37" s="58">
        <v>22.9</v>
      </c>
      <c r="X37" s="58">
        <v>28.7</v>
      </c>
      <c r="Y37" s="58">
        <v>27.7</v>
      </c>
      <c r="Z37" s="58">
        <v>28.6</v>
      </c>
      <c r="AA37" s="58">
        <v>30.1</v>
      </c>
      <c r="AB37" s="58">
        <v>30.1</v>
      </c>
      <c r="AC37" s="58">
        <v>29.5</v>
      </c>
      <c r="AD37" s="58">
        <f>25765/1000</f>
        <v>25.765000000000001</v>
      </c>
      <c r="AE37" s="58">
        <f>23961/1000</f>
        <v>23.960999999999999</v>
      </c>
      <c r="AF37" s="58">
        <v>22.422000000000001</v>
      </c>
      <c r="AG37" s="58">
        <v>23.190999999999999</v>
      </c>
      <c r="AH37" s="56">
        <v>11.917</v>
      </c>
      <c r="AI37" s="56">
        <v>18.064</v>
      </c>
      <c r="AJ37" s="60">
        <v>21.6</v>
      </c>
      <c r="AK37" s="58">
        <f>AJ37/$AJ$13*100</f>
        <v>7.1364852809991079</v>
      </c>
      <c r="AL37" s="60">
        <v>19.231000000000002</v>
      </c>
      <c r="AM37" s="40">
        <f>AL37/$AL$13*100</f>
        <v>7.0713124820744389</v>
      </c>
      <c r="AN37" s="61">
        <v>19.100000000000001</v>
      </c>
      <c r="AO37" s="41">
        <f>AN37/$AN$13*100</f>
        <v>6.6250433576135972</v>
      </c>
      <c r="AP37" s="56">
        <v>20</v>
      </c>
      <c r="AQ37" s="56">
        <f>AP37/$AP$13*100</f>
        <v>6.4703979294726626</v>
      </c>
      <c r="AR37" s="61">
        <v>21.3</v>
      </c>
      <c r="AS37" s="75">
        <f>AR37/$AR$13*100</f>
        <v>6.6231343283582103</v>
      </c>
      <c r="AT37" s="61">
        <v>24.5</v>
      </c>
      <c r="AU37" s="75">
        <f>AT37/$AR$13*100</f>
        <v>7.6181592039800998</v>
      </c>
      <c r="AV37" s="61">
        <v>30.6</v>
      </c>
      <c r="AW37" s="65">
        <f>AV37/AV13</f>
        <v>7.9937304075235124E-2</v>
      </c>
      <c r="AX37" s="61">
        <v>29</v>
      </c>
      <c r="AY37" s="65">
        <f>AX37/AX13</f>
        <v>7.5246497145822544E-2</v>
      </c>
      <c r="AZ37" s="61">
        <v>28.6</v>
      </c>
      <c r="BA37" s="65">
        <f>AZ37/AZ13</f>
        <v>7.4189364461738003E-2</v>
      </c>
      <c r="BG37" s="56"/>
      <c r="BH37" s="56"/>
      <c r="BI37" s="56"/>
      <c r="BJ37" s="56"/>
      <c r="BK37" s="56"/>
      <c r="BL37" s="56"/>
    </row>
    <row r="38" spans="4:64" x14ac:dyDescent="0.2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62"/>
      <c r="AK38" s="47"/>
      <c r="AL38" s="62"/>
      <c r="AM38" s="63"/>
      <c r="AN38" s="62"/>
      <c r="AO38" s="63"/>
      <c r="AP38" s="47"/>
      <c r="AQ38" s="52"/>
      <c r="AR38" s="62"/>
      <c r="AS38" s="75"/>
      <c r="AT38" s="62"/>
      <c r="AU38" s="75"/>
      <c r="AV38" s="62"/>
      <c r="AW38" s="65"/>
      <c r="AX38" s="62"/>
      <c r="AY38" s="65"/>
      <c r="AZ38" s="62"/>
      <c r="BA38" s="65"/>
    </row>
    <row r="39" spans="4:64" x14ac:dyDescent="0.2">
      <c r="AA39" s="56"/>
      <c r="AD39" s="56"/>
      <c r="AE39" s="56"/>
      <c r="AF39" s="58"/>
      <c r="AH39" s="56"/>
      <c r="AI39" s="56"/>
      <c r="AJ39" s="54"/>
      <c r="AL39" s="54"/>
      <c r="AM39" s="55"/>
      <c r="AN39" s="54"/>
      <c r="AO39" s="55"/>
      <c r="AQ39" s="56"/>
      <c r="AR39" s="54"/>
      <c r="AS39" s="75"/>
      <c r="AT39" s="54"/>
      <c r="AU39" s="75"/>
      <c r="AV39" s="54"/>
      <c r="AW39" s="65"/>
      <c r="AX39" s="54"/>
      <c r="AY39" s="65"/>
      <c r="AZ39" s="54"/>
      <c r="BA39" s="65"/>
    </row>
    <row r="40" spans="4:64" x14ac:dyDescent="0.2">
      <c r="D40" s="4" t="s">
        <v>43</v>
      </c>
      <c r="E40" s="58">
        <v>2.5179999999999998</v>
      </c>
      <c r="F40" s="58">
        <v>3.4049999999999998</v>
      </c>
      <c r="G40" s="58">
        <v>3.4009999999999998</v>
      </c>
      <c r="H40" s="58">
        <v>4.3600000000000003</v>
      </c>
      <c r="I40" s="58">
        <v>4.806</v>
      </c>
      <c r="J40" s="58">
        <v>6.4349999999999996</v>
      </c>
      <c r="K40" s="58">
        <v>6.47</v>
      </c>
      <c r="L40" s="58">
        <v>5.9180000000000001</v>
      </c>
      <c r="M40" s="58">
        <v>6.5350000000000001</v>
      </c>
      <c r="N40" s="58">
        <v>7.6189999999999998</v>
      </c>
      <c r="O40" s="58">
        <v>7.19</v>
      </c>
      <c r="P40" s="58">
        <v>8.41</v>
      </c>
      <c r="Q40" s="58">
        <v>11.2</v>
      </c>
      <c r="R40" s="58">
        <v>10.1</v>
      </c>
      <c r="S40" s="58">
        <v>10.6</v>
      </c>
      <c r="T40" s="58">
        <v>12.7</v>
      </c>
      <c r="U40" s="58">
        <v>11.1</v>
      </c>
      <c r="V40" s="58">
        <v>13</v>
      </c>
      <c r="W40" s="58">
        <v>15.9</v>
      </c>
      <c r="X40" s="58">
        <v>20.2</v>
      </c>
      <c r="Y40" s="58">
        <v>21.2</v>
      </c>
      <c r="Z40" s="58">
        <v>18.899999999999999</v>
      </c>
      <c r="AA40" s="58">
        <v>18.5</v>
      </c>
      <c r="AB40" s="58">
        <v>19.8</v>
      </c>
      <c r="AC40" s="58">
        <v>20.6</v>
      </c>
      <c r="AD40" s="58">
        <f>11940/1000</f>
        <v>11.94</v>
      </c>
      <c r="AE40" s="58">
        <f>11333/1000</f>
        <v>11.333</v>
      </c>
      <c r="AF40" s="58">
        <v>11.336</v>
      </c>
      <c r="AG40" s="58">
        <v>4.9820000000000002</v>
      </c>
      <c r="AH40" s="56">
        <v>8.4939999999999998</v>
      </c>
      <c r="AI40" s="56">
        <v>10.154999999999999</v>
      </c>
      <c r="AJ40" s="60">
        <v>10.3</v>
      </c>
      <c r="AK40" s="58">
        <f>AJ40/$AJ$13*100</f>
        <v>3.4030462219579083</v>
      </c>
      <c r="AL40" s="60">
        <v>9.1150000000000002</v>
      </c>
      <c r="AM40" s="40">
        <f>AL40/$AL$13*100</f>
        <v>3.3516204708079931</v>
      </c>
      <c r="AN40" s="61">
        <v>9.6</v>
      </c>
      <c r="AO40" s="41">
        <f>AN40/$AN$13*100</f>
        <v>3.329864724245577</v>
      </c>
      <c r="AP40" s="56">
        <v>10</v>
      </c>
      <c r="AQ40" s="56">
        <f>AP40/$AP$13*100</f>
        <v>3.2351989647363313</v>
      </c>
      <c r="AR40" s="61">
        <v>10.7</v>
      </c>
      <c r="AS40" s="75">
        <f>AR40/$AR$13*100</f>
        <v>3.3271144278606966</v>
      </c>
      <c r="AT40" s="61">
        <v>10.8</v>
      </c>
      <c r="AU40" s="75">
        <f>AT40/$AR$13*100</f>
        <v>3.3582089552238812</v>
      </c>
      <c r="AV40" s="61">
        <v>13.4</v>
      </c>
      <c r="AW40" s="65">
        <f>AV40/AV13</f>
        <v>3.5005224660397079E-2</v>
      </c>
      <c r="AX40" s="61">
        <v>15.2</v>
      </c>
      <c r="AY40" s="65">
        <f>AX40/AX13</f>
        <v>3.9439543331603537E-2</v>
      </c>
      <c r="AZ40" s="61">
        <v>14.7</v>
      </c>
      <c r="BA40" s="65">
        <f>AZ40/AZ13</f>
        <v>3.8132295719844354E-2</v>
      </c>
      <c r="BG40" s="56"/>
      <c r="BH40" s="56"/>
      <c r="BI40" s="56"/>
      <c r="BJ40" s="56"/>
      <c r="BK40" s="56"/>
      <c r="BL40" s="56"/>
    </row>
    <row r="41" spans="4:64" x14ac:dyDescent="0.2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62"/>
      <c r="AK41" s="47"/>
      <c r="AL41" s="62"/>
      <c r="AM41" s="63"/>
      <c r="AN41" s="62"/>
      <c r="AO41" s="63"/>
      <c r="AP41" s="47"/>
      <c r="AQ41" s="52"/>
      <c r="AR41" s="62"/>
      <c r="AS41" s="75"/>
      <c r="AT41" s="62"/>
      <c r="AU41" s="75"/>
      <c r="AV41" s="62"/>
      <c r="AW41" s="65"/>
      <c r="AX41" s="62"/>
      <c r="AY41" s="65"/>
      <c r="AZ41" s="62"/>
      <c r="BA41" s="65"/>
    </row>
    <row r="42" spans="4:64" x14ac:dyDescent="0.2">
      <c r="AA42" s="56"/>
      <c r="AD42" s="56"/>
      <c r="AE42" s="56"/>
      <c r="AF42" s="58"/>
      <c r="AH42" s="56"/>
      <c r="AI42" s="56"/>
      <c r="AJ42" s="54"/>
      <c r="AL42" s="54"/>
      <c r="AM42" s="55"/>
      <c r="AN42" s="54"/>
      <c r="AO42" s="55"/>
      <c r="AQ42" s="56"/>
      <c r="AR42" s="54"/>
      <c r="AS42" s="75"/>
      <c r="AT42" s="54"/>
      <c r="AU42" s="75"/>
      <c r="AV42" s="54"/>
      <c r="AW42" s="65"/>
      <c r="AX42" s="54"/>
      <c r="AY42" s="65"/>
      <c r="AZ42" s="54"/>
      <c r="BA42" s="65"/>
    </row>
    <row r="43" spans="4:64" x14ac:dyDescent="0.2">
      <c r="D43" s="4" t="s">
        <v>44</v>
      </c>
      <c r="E43" s="58">
        <v>3.0350000000000001</v>
      </c>
      <c r="F43" s="58">
        <v>4.5830000000000002</v>
      </c>
      <c r="G43" s="58">
        <v>4.008</v>
      </c>
      <c r="H43" s="58">
        <v>5.04</v>
      </c>
      <c r="I43" s="58">
        <v>6.9509999999999996</v>
      </c>
      <c r="J43" s="58">
        <v>8.3849999999999998</v>
      </c>
      <c r="K43" s="58">
        <v>8.3320000000000007</v>
      </c>
      <c r="L43" s="58">
        <v>8.3810000000000002</v>
      </c>
      <c r="M43" s="58">
        <v>8.8390000000000004</v>
      </c>
      <c r="N43" s="58">
        <v>9.9220000000000006</v>
      </c>
      <c r="O43" s="58">
        <v>10.15</v>
      </c>
      <c r="P43" s="58">
        <v>10.984</v>
      </c>
      <c r="Q43" s="58">
        <v>14.5</v>
      </c>
      <c r="R43" s="58">
        <v>14.9</v>
      </c>
      <c r="S43" s="58">
        <v>15.5</v>
      </c>
      <c r="T43" s="58">
        <v>18.100000000000001</v>
      </c>
      <c r="U43" s="58">
        <v>16.2</v>
      </c>
      <c r="V43" s="58">
        <v>17.600000000000001</v>
      </c>
      <c r="W43" s="58">
        <v>22</v>
      </c>
      <c r="X43" s="58">
        <v>24.3</v>
      </c>
      <c r="Y43" s="58">
        <v>27.5</v>
      </c>
      <c r="Z43" s="58">
        <v>26</v>
      </c>
      <c r="AA43" s="58">
        <v>26</v>
      </c>
      <c r="AB43" s="58">
        <v>26.8</v>
      </c>
      <c r="AC43" s="58">
        <v>26.7</v>
      </c>
      <c r="AD43" s="58">
        <f>15898/1000</f>
        <v>15.898</v>
      </c>
      <c r="AE43" s="58">
        <f>16151/1000</f>
        <v>16.151</v>
      </c>
      <c r="AF43" s="58">
        <v>18.879000000000001</v>
      </c>
      <c r="AG43" s="58">
        <v>1.968</v>
      </c>
      <c r="AH43" s="56">
        <v>11.103999999999999</v>
      </c>
      <c r="AI43" s="56">
        <v>14.634</v>
      </c>
      <c r="AJ43" s="60">
        <v>14.7</v>
      </c>
      <c r="AK43" s="58">
        <f>AJ43/$AJ$13*100</f>
        <v>4.8567747051243924</v>
      </c>
      <c r="AL43" s="60">
        <v>13.018000000000001</v>
      </c>
      <c r="AM43" s="40">
        <f>AL43/$AL$13*100</f>
        <v>4.7867685451430004</v>
      </c>
      <c r="AN43" s="61">
        <v>13.8</v>
      </c>
      <c r="AO43" s="41">
        <f>AN43/$AN$13*100</f>
        <v>4.786680541103018</v>
      </c>
      <c r="AP43" s="56">
        <v>14.4</v>
      </c>
      <c r="AQ43" s="56">
        <f>AP43/$AP$13*100</f>
        <v>4.6586865092203178</v>
      </c>
      <c r="AR43" s="61">
        <v>14.7</v>
      </c>
      <c r="AS43" s="75">
        <f>AR43/$AR$13*100</f>
        <v>4.5708955223880601</v>
      </c>
      <c r="AT43" s="61">
        <v>16</v>
      </c>
      <c r="AU43" s="75">
        <f>AT43/$AR$13*100</f>
        <v>4.9751243781094532</v>
      </c>
      <c r="AV43" s="61">
        <v>18.899999999999999</v>
      </c>
      <c r="AW43" s="65">
        <f>AV43/AV13</f>
        <v>4.9373040752351098E-2</v>
      </c>
      <c r="AX43" s="61">
        <v>20.2</v>
      </c>
      <c r="AY43" s="65">
        <f>AX43/AX13</f>
        <v>5.2413077322262594E-2</v>
      </c>
      <c r="AZ43" s="61">
        <v>19.5</v>
      </c>
      <c r="BA43" s="65">
        <f>AZ43/AZ13</f>
        <v>5.0583657587548639E-2</v>
      </c>
      <c r="BG43" s="56"/>
      <c r="BH43" s="56"/>
      <c r="BI43" s="56"/>
      <c r="BJ43" s="56"/>
      <c r="BK43" s="56"/>
      <c r="BL43" s="56"/>
    </row>
    <row r="44" spans="4:64" x14ac:dyDescent="0.2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62"/>
      <c r="AK44" s="47"/>
      <c r="AL44" s="62"/>
      <c r="AM44" s="63"/>
      <c r="AN44" s="62"/>
      <c r="AO44" s="63"/>
      <c r="AP44" s="47"/>
      <c r="AQ44" s="52"/>
      <c r="AR44" s="62"/>
      <c r="AS44" s="75"/>
      <c r="AT44" s="62"/>
      <c r="AU44" s="75"/>
      <c r="AV44" s="62"/>
      <c r="AW44" s="65"/>
      <c r="AX44" s="62"/>
      <c r="AY44" s="65"/>
      <c r="AZ44" s="62"/>
      <c r="BA44" s="65"/>
    </row>
    <row r="45" spans="4:64" x14ac:dyDescent="0.2">
      <c r="AA45" s="56"/>
      <c r="AD45" s="56"/>
      <c r="AE45" s="56"/>
      <c r="AF45" s="58"/>
      <c r="AH45" s="56"/>
      <c r="AI45" s="56"/>
      <c r="AJ45" s="54"/>
      <c r="AL45" s="54"/>
      <c r="AM45" s="55"/>
      <c r="AN45" s="54"/>
      <c r="AO45" s="55"/>
      <c r="AQ45" s="56"/>
      <c r="AR45" s="54"/>
      <c r="AS45" s="75"/>
      <c r="AT45" s="54"/>
      <c r="AU45" s="75"/>
      <c r="AV45" s="54"/>
      <c r="AW45" s="65"/>
      <c r="AX45" s="54"/>
      <c r="AY45" s="65"/>
      <c r="AZ45" s="54"/>
      <c r="BA45" s="65"/>
    </row>
    <row r="46" spans="4:64" x14ac:dyDescent="0.2">
      <c r="D46" s="4" t="s">
        <v>45</v>
      </c>
      <c r="E46" s="58">
        <v>5.13</v>
      </c>
      <c r="F46" s="58">
        <v>5.3159999999999998</v>
      </c>
      <c r="G46" s="58">
        <v>6.0010000000000003</v>
      </c>
      <c r="H46" s="58">
        <v>6.6289999999999996</v>
      </c>
      <c r="I46" s="58">
        <v>8.8629999999999995</v>
      </c>
      <c r="J46" s="58">
        <v>10.337999999999999</v>
      </c>
      <c r="K46" s="58">
        <v>10.137</v>
      </c>
      <c r="L46" s="58">
        <v>8.85</v>
      </c>
      <c r="M46" s="58">
        <v>9.6709999999999994</v>
      </c>
      <c r="N46" s="58">
        <v>13.608000000000001</v>
      </c>
      <c r="O46" s="58">
        <v>12.692</v>
      </c>
      <c r="P46" s="58">
        <v>13.223000000000001</v>
      </c>
      <c r="Q46" s="58">
        <v>17.2</v>
      </c>
      <c r="R46" s="58">
        <v>16.3</v>
      </c>
      <c r="S46" s="58">
        <v>19.8</v>
      </c>
      <c r="T46" s="58">
        <v>22.2</v>
      </c>
      <c r="U46" s="58">
        <v>18.8</v>
      </c>
      <c r="V46" s="58">
        <v>20.9</v>
      </c>
      <c r="W46" s="58">
        <v>25.1</v>
      </c>
      <c r="X46" s="58">
        <v>28</v>
      </c>
      <c r="Y46" s="58">
        <v>29.9</v>
      </c>
      <c r="Z46" s="58">
        <v>30.4</v>
      </c>
      <c r="AA46" s="58">
        <v>29.8</v>
      </c>
      <c r="AB46" s="58">
        <v>32.1</v>
      </c>
      <c r="AC46" s="58">
        <v>32.299999999999997</v>
      </c>
      <c r="AD46" s="58">
        <f>23070/1000</f>
        <v>23.07</v>
      </c>
      <c r="AE46" s="58">
        <f>23903/1000</f>
        <v>23.902999999999999</v>
      </c>
      <c r="AF46" s="58">
        <v>22.745000000000001</v>
      </c>
      <c r="AG46" s="58">
        <v>4.2149999999999999</v>
      </c>
      <c r="AH46" s="56">
        <v>14.978999999999999</v>
      </c>
      <c r="AI46" s="56">
        <v>22.276</v>
      </c>
      <c r="AJ46" s="60">
        <v>19.7</v>
      </c>
      <c r="AK46" s="58">
        <f>AJ46/$AJ$13*100</f>
        <v>6.5087388905408519</v>
      </c>
      <c r="AL46" s="60">
        <v>20.614000000000001</v>
      </c>
      <c r="AM46" s="40">
        <f>AL46/$AL$13*100</f>
        <v>7.5798468881224323</v>
      </c>
      <c r="AN46" s="60">
        <v>23.2</v>
      </c>
      <c r="AO46" s="41">
        <f>AN46/$AN$13*100</f>
        <v>8.0471730835934778</v>
      </c>
      <c r="AP46" s="58">
        <v>24.9</v>
      </c>
      <c r="AQ46" s="56">
        <f>AP46/$AP$13*100</f>
        <v>8.0556454221934644</v>
      </c>
      <c r="AR46" s="60">
        <v>25.9</v>
      </c>
      <c r="AS46" s="75">
        <f>AR46/$AR$13*100</f>
        <v>8.0534825870646767</v>
      </c>
      <c r="AT46" s="60">
        <v>28.6</v>
      </c>
      <c r="AU46" s="75">
        <f>AT46/$AR$13*100</f>
        <v>8.8930348258706484</v>
      </c>
      <c r="AV46" s="60">
        <v>29.7</v>
      </c>
      <c r="AW46" s="65">
        <f>AV46/AV13</f>
        <v>7.7586206896551727E-2</v>
      </c>
      <c r="AX46" s="60">
        <v>29.8</v>
      </c>
      <c r="AY46" s="65">
        <f>AX46/AX13</f>
        <v>7.7322262584327991E-2</v>
      </c>
      <c r="AZ46" s="60">
        <v>29.2</v>
      </c>
      <c r="BA46" s="65">
        <f>AZ46/AZ13</f>
        <v>7.5745784695201032E-2</v>
      </c>
      <c r="BG46" s="56"/>
      <c r="BH46" s="56"/>
      <c r="BI46" s="56"/>
      <c r="BJ46" s="56"/>
      <c r="BK46" s="56"/>
      <c r="BL46" s="56"/>
    </row>
    <row r="47" spans="4:64" x14ac:dyDescent="0.2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62"/>
      <c r="AK47" s="47"/>
      <c r="AL47" s="62"/>
      <c r="AM47" s="40">
        <f>AL47/$AL$13*100</f>
        <v>0</v>
      </c>
      <c r="AN47" s="62"/>
      <c r="AO47" s="63"/>
      <c r="AP47" s="47"/>
      <c r="AQ47" s="52"/>
      <c r="AR47" s="62"/>
      <c r="AS47" s="75"/>
      <c r="AT47" s="62"/>
      <c r="AU47" s="75"/>
      <c r="AV47" s="62"/>
      <c r="AW47" s="65"/>
      <c r="AX47" s="62"/>
      <c r="AY47" s="65"/>
      <c r="AZ47" s="62"/>
      <c r="BA47" s="65"/>
    </row>
    <row r="48" spans="4:64" x14ac:dyDescent="0.2">
      <c r="AA48" s="56"/>
      <c r="AD48" s="56"/>
      <c r="AE48" s="56"/>
      <c r="AF48" s="58"/>
      <c r="AH48" s="56"/>
      <c r="AI48" s="56"/>
      <c r="AJ48" s="54"/>
      <c r="AL48" s="54"/>
      <c r="AM48" s="55"/>
      <c r="AN48" s="54"/>
      <c r="AO48" s="55"/>
      <c r="AQ48" s="56"/>
      <c r="AR48" s="54"/>
      <c r="AS48" s="75"/>
      <c r="AT48" s="54"/>
      <c r="AU48" s="75"/>
      <c r="AV48" s="54"/>
      <c r="AW48" s="65"/>
      <c r="AX48" s="54"/>
      <c r="AY48" s="65"/>
      <c r="AZ48" s="54"/>
      <c r="BA48" s="65"/>
    </row>
    <row r="49" spans="1:64" x14ac:dyDescent="0.2">
      <c r="D49" s="4" t="s">
        <v>46</v>
      </c>
      <c r="E49" s="58">
        <v>5.9960000000000004</v>
      </c>
      <c r="F49" s="58">
        <v>7.0019999999999998</v>
      </c>
      <c r="G49" s="58">
        <v>6.8049999999999997</v>
      </c>
      <c r="H49" s="58">
        <v>7.4989999999999997</v>
      </c>
      <c r="I49" s="58">
        <v>10.49</v>
      </c>
      <c r="J49" s="58">
        <v>11.423999999999999</v>
      </c>
      <c r="K49" s="58">
        <v>11.781000000000001</v>
      </c>
      <c r="L49" s="58">
        <v>11.814</v>
      </c>
      <c r="M49" s="58">
        <v>12.345000000000001</v>
      </c>
      <c r="N49" s="58">
        <v>14.401999999999999</v>
      </c>
      <c r="O49" s="58">
        <v>15.303000000000001</v>
      </c>
      <c r="P49" s="58">
        <v>16.8</v>
      </c>
      <c r="Q49" s="58">
        <v>19.899999999999999</v>
      </c>
      <c r="R49" s="58">
        <v>18.600000000000001</v>
      </c>
      <c r="S49" s="58">
        <v>21.5</v>
      </c>
      <c r="T49" s="58">
        <v>22.3</v>
      </c>
      <c r="U49" s="58">
        <v>21.2</v>
      </c>
      <c r="V49" s="58">
        <v>23.7</v>
      </c>
      <c r="W49" s="58">
        <v>28</v>
      </c>
      <c r="X49" s="58">
        <v>31.5</v>
      </c>
      <c r="Y49" s="58">
        <v>31.9</v>
      </c>
      <c r="Z49" s="58">
        <v>34.4</v>
      </c>
      <c r="AA49" s="58">
        <v>36.299999999999997</v>
      </c>
      <c r="AB49" s="58">
        <v>36.700000000000003</v>
      </c>
      <c r="AC49" s="58">
        <v>33.9</v>
      </c>
      <c r="AD49" s="58">
        <f>28049/1000</f>
        <v>28.048999999999999</v>
      </c>
      <c r="AE49" s="58">
        <f>29060/1000</f>
        <v>29.06</v>
      </c>
      <c r="AF49" s="58">
        <v>30.847999999999999</v>
      </c>
      <c r="AG49" s="105">
        <v>11.201000000000001</v>
      </c>
      <c r="AH49" s="56">
        <v>21.591999999999999</v>
      </c>
      <c r="AI49" s="56">
        <v>27.385999999999999</v>
      </c>
      <c r="AJ49" s="61">
        <v>28.15</v>
      </c>
      <c r="AK49" s="58">
        <f>AJ49/$AJ$13*100</f>
        <v>9.3005583638946696</v>
      </c>
      <c r="AL49" s="61">
        <v>29.565000000000001</v>
      </c>
      <c r="AM49" s="40">
        <f>AL49/$AL$13*100</f>
        <v>10.871163929724444</v>
      </c>
      <c r="AN49" s="60">
        <v>31.4</v>
      </c>
      <c r="AO49" s="41">
        <f>AN49/$AN$13*100</f>
        <v>10.891432535553241</v>
      </c>
      <c r="AP49" s="58">
        <v>33.4</v>
      </c>
      <c r="AQ49" s="56">
        <f>AP49/$AP$13*100</f>
        <v>10.805564542219347</v>
      </c>
      <c r="AR49" s="60">
        <v>35.4</v>
      </c>
      <c r="AS49" s="75">
        <f>AR49/$AR$13*100</f>
        <v>11.007462686567166</v>
      </c>
      <c r="AT49" s="60">
        <v>39.200000000000003</v>
      </c>
      <c r="AU49" s="75">
        <f>AT49/$AR$13*100</f>
        <v>12.189054726368163</v>
      </c>
      <c r="AV49" s="60">
        <v>40.6</v>
      </c>
      <c r="AW49" s="65">
        <f>AV49/AV13</f>
        <v>0.10606060606060608</v>
      </c>
      <c r="AX49" s="60">
        <v>39.9</v>
      </c>
      <c r="AY49" s="65">
        <f>AX49/AX13</f>
        <v>0.10352880124545928</v>
      </c>
      <c r="AZ49" s="60">
        <v>40.299999999999997</v>
      </c>
      <c r="BA49" s="65">
        <f>AZ49/AZ13</f>
        <v>0.10453955901426717</v>
      </c>
      <c r="BG49" s="56"/>
      <c r="BH49" s="56"/>
      <c r="BI49" s="56"/>
      <c r="BJ49" s="56"/>
      <c r="BK49" s="56"/>
      <c r="BL49" s="56"/>
    </row>
    <row r="50" spans="1:64" x14ac:dyDescent="0.2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62"/>
      <c r="AK50" s="47"/>
      <c r="AL50" s="62"/>
      <c r="AM50" s="63"/>
      <c r="AN50" s="62"/>
      <c r="AO50" s="63"/>
      <c r="AP50" s="47"/>
      <c r="AQ50" s="47"/>
      <c r="AR50" s="62"/>
      <c r="AS50" s="65"/>
      <c r="AT50" s="62"/>
      <c r="AU50" s="65"/>
      <c r="AV50" s="62"/>
      <c r="AW50" s="65"/>
      <c r="AX50" s="62"/>
      <c r="AY50" s="65"/>
      <c r="AZ50" s="62"/>
      <c r="BA50" s="65"/>
    </row>
    <row r="51" spans="1:64" x14ac:dyDescent="0.2">
      <c r="C51" s="3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3"/>
      <c r="AK51" s="74"/>
      <c r="AL51" s="73"/>
      <c r="AM51" s="72"/>
      <c r="AN51" s="73"/>
      <c r="AO51" s="72"/>
      <c r="AP51" s="72"/>
      <c r="AQ51" s="72"/>
      <c r="AR51" s="73"/>
      <c r="AS51" s="72"/>
      <c r="AT51" s="73"/>
      <c r="AU51" s="72"/>
      <c r="AV51" s="73"/>
      <c r="AW51" s="72"/>
      <c r="AX51" s="73"/>
      <c r="AY51" s="72"/>
      <c r="AZ51" s="73"/>
      <c r="BA51" s="72"/>
    </row>
    <row r="53" spans="1:64" x14ac:dyDescent="0.2">
      <c r="A53" s="78" t="s">
        <v>80</v>
      </c>
    </row>
    <row r="54" spans="1:64" ht="14.25" x14ac:dyDescent="0.2">
      <c r="C54" s="84"/>
    </row>
    <row r="56" spans="1:64" x14ac:dyDescent="0.2">
      <c r="D56" s="106"/>
    </row>
    <row r="57" spans="1:64" x14ac:dyDescent="0.2">
      <c r="D57" s="106"/>
    </row>
    <row r="60" spans="1:64" x14ac:dyDescent="0.2"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</row>
    <row r="61" spans="1:64" x14ac:dyDescent="0.2"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</row>
  </sheetData>
  <mergeCells count="11">
    <mergeCell ref="AZ9:BA9"/>
    <mergeCell ref="AV9:AW9"/>
    <mergeCell ref="AX9:AY9"/>
    <mergeCell ref="D9:D10"/>
    <mergeCell ref="AJ9:AK9"/>
    <mergeCell ref="AL9:AM9"/>
    <mergeCell ref="AN9:AO9"/>
    <mergeCell ref="AP9:AQ9"/>
    <mergeCell ref="AR9:AS9"/>
    <mergeCell ref="AT9:AU9"/>
    <mergeCell ref="D8:BA8"/>
  </mergeCells>
  <printOptions horizontalCentered="1"/>
  <pageMargins left="1" right="1" top="1" bottom="1" header="0.5" footer="0.24"/>
  <pageSetup scale="54" orientation="portrait" horizontalDpi="300" verticalDpi="300" r:id="rId1"/>
  <headerFooter alignWithMargins="0"/>
  <ignoredErrors>
    <ignoredError sqref="AY14:AY51" evalError="1"/>
    <ignoredError sqref="AW13:AX13 AQ13 AZ13 AK13:AM13" formula="1"/>
    <ignoredError sqref="AY13" evalError="1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485775</xdr:colOff>
                <xdr:row>4</xdr:row>
                <xdr:rowOff>66675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AB95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C6" sqref="C6"/>
    </sheetView>
  </sheetViews>
  <sheetFormatPr defaultRowHeight="12.75" x14ac:dyDescent="0.2"/>
  <cols>
    <col min="1" max="1" width="9.140625" style="4" customWidth="1"/>
    <col min="2" max="2" width="7.85546875" style="4" customWidth="1"/>
    <col min="3" max="3" width="25.5703125" style="4" customWidth="1"/>
    <col min="4" max="12" width="13.42578125" style="4" customWidth="1"/>
    <col min="13" max="13" width="10.7109375" style="4" customWidth="1"/>
    <col min="14" max="14" width="10.5703125" style="4" bestFit="1" customWidth="1"/>
    <col min="15" max="15" width="9.140625" style="4"/>
    <col min="16" max="18" width="0" style="4" hidden="1" customWidth="1"/>
    <col min="19" max="16384" width="9.140625" style="4"/>
  </cols>
  <sheetData>
    <row r="4" spans="2:28" ht="15" x14ac:dyDescent="0.25">
      <c r="M4" s="107"/>
      <c r="N4" s="107"/>
    </row>
    <row r="5" spans="2:28" ht="9" customHeight="1" x14ac:dyDescent="0.2"/>
    <row r="8" spans="2:28" ht="15.75" x14ac:dyDescent="0.25">
      <c r="B8" s="13"/>
      <c r="C8" s="179" t="s">
        <v>110</v>
      </c>
      <c r="D8" s="179"/>
      <c r="E8" s="179"/>
      <c r="F8" s="179"/>
      <c r="G8" s="179"/>
      <c r="H8" s="179"/>
      <c r="I8" s="179"/>
      <c r="J8" s="179"/>
      <c r="K8" s="179"/>
      <c r="L8" s="179"/>
    </row>
    <row r="10" spans="2:28" ht="15" x14ac:dyDescent="0.2">
      <c r="D10" s="108"/>
      <c r="E10" s="108"/>
      <c r="F10" s="108"/>
      <c r="G10" s="108"/>
      <c r="H10" s="108"/>
      <c r="I10" s="108"/>
      <c r="J10" s="108"/>
      <c r="K10" s="108"/>
      <c r="N10" s="108"/>
      <c r="O10" s="108"/>
      <c r="P10" s="108" t="s">
        <v>47</v>
      </c>
      <c r="Q10" s="108" t="s">
        <v>47</v>
      </c>
      <c r="R10" s="108" t="s">
        <v>47</v>
      </c>
      <c r="S10" s="243" t="s">
        <v>47</v>
      </c>
    </row>
    <row r="11" spans="2:28" x14ac:dyDescent="0.2">
      <c r="C11" s="109"/>
      <c r="D11" s="17">
        <v>2004</v>
      </c>
      <c r="E11" s="17">
        <v>2005</v>
      </c>
      <c r="F11" s="17">
        <v>2006</v>
      </c>
      <c r="G11" s="110">
        <v>2007</v>
      </c>
      <c r="H11" s="110">
        <v>2008</v>
      </c>
      <c r="I11" s="110">
        <v>2009</v>
      </c>
      <c r="J11" s="110">
        <v>2010</v>
      </c>
      <c r="K11" s="110">
        <v>2011</v>
      </c>
      <c r="L11" s="110">
        <v>2012</v>
      </c>
      <c r="M11" s="110">
        <v>2013</v>
      </c>
      <c r="N11" s="110">
        <v>2014</v>
      </c>
      <c r="O11" s="110">
        <v>2015</v>
      </c>
      <c r="P11" s="110">
        <v>2015</v>
      </c>
      <c r="Q11" s="110">
        <v>2015</v>
      </c>
      <c r="R11" s="110">
        <v>2015</v>
      </c>
      <c r="S11" s="110">
        <v>2016</v>
      </c>
    </row>
    <row r="13" spans="2:28" x14ac:dyDescent="0.2">
      <c r="C13" s="37" t="s">
        <v>48</v>
      </c>
      <c r="V13" s="111"/>
      <c r="W13" s="111"/>
      <c r="X13" s="111"/>
      <c r="Y13" s="111"/>
      <c r="Z13" s="111"/>
      <c r="AA13" s="111"/>
      <c r="AB13" s="111"/>
    </row>
    <row r="14" spans="2:28" x14ac:dyDescent="0.2">
      <c r="C14" s="4" t="s">
        <v>49</v>
      </c>
      <c r="D14" s="58">
        <v>50.7</v>
      </c>
      <c r="E14" s="58">
        <v>49.3</v>
      </c>
      <c r="F14" s="71">
        <v>50.28</v>
      </c>
      <c r="G14" s="56">
        <v>51</v>
      </c>
      <c r="H14" s="56">
        <v>51.2</v>
      </c>
      <c r="I14" s="56">
        <v>51.5</v>
      </c>
      <c r="J14" s="56">
        <v>51.4</v>
      </c>
      <c r="K14" s="56">
        <v>51.2</v>
      </c>
      <c r="L14" s="56">
        <v>51.2</v>
      </c>
      <c r="M14" s="56">
        <v>51.3</v>
      </c>
      <c r="N14" s="56">
        <v>51.7</v>
      </c>
      <c r="O14" s="56">
        <v>51.7</v>
      </c>
      <c r="P14" s="56">
        <v>51.7</v>
      </c>
      <c r="Q14" s="56">
        <v>51.7</v>
      </c>
      <c r="R14" s="56">
        <v>51.7</v>
      </c>
      <c r="S14" s="56">
        <v>51.8</v>
      </c>
      <c r="V14" s="111"/>
      <c r="W14" s="111"/>
      <c r="X14" s="111"/>
      <c r="Y14" s="111"/>
      <c r="Z14" s="111"/>
      <c r="AA14" s="111"/>
      <c r="AB14" s="111"/>
    </row>
    <row r="15" spans="2:28" x14ac:dyDescent="0.2">
      <c r="C15" s="4" t="s">
        <v>50</v>
      </c>
      <c r="D15" s="58">
        <v>49.3</v>
      </c>
      <c r="E15" s="58">
        <v>50.7</v>
      </c>
      <c r="F15" s="71">
        <v>49.71</v>
      </c>
      <c r="G15" s="56">
        <v>49</v>
      </c>
      <c r="H15" s="56">
        <v>48.8</v>
      </c>
      <c r="I15" s="56">
        <v>48.5</v>
      </c>
      <c r="J15" s="56">
        <v>48.6</v>
      </c>
      <c r="K15" s="56">
        <v>48.8</v>
      </c>
      <c r="L15" s="56">
        <v>48.8</v>
      </c>
      <c r="M15" s="56">
        <v>48.7</v>
      </c>
      <c r="N15" s="56">
        <v>48.3</v>
      </c>
      <c r="O15" s="56">
        <v>48.3</v>
      </c>
      <c r="P15" s="56">
        <v>48.3</v>
      </c>
      <c r="Q15" s="56">
        <v>48.3</v>
      </c>
      <c r="R15" s="56">
        <v>48.3</v>
      </c>
      <c r="S15" s="56">
        <v>48.2</v>
      </c>
      <c r="V15" s="111"/>
      <c r="W15" s="111"/>
      <c r="X15" s="111"/>
      <c r="Y15" s="111"/>
      <c r="Z15" s="111"/>
      <c r="AA15" s="111"/>
      <c r="AB15" s="111"/>
    </row>
    <row r="16" spans="2:28" x14ac:dyDescent="0.2"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V16" s="111"/>
      <c r="W16" s="111"/>
      <c r="X16" s="111"/>
      <c r="Y16" s="111"/>
      <c r="Z16" s="111"/>
      <c r="AA16" s="111"/>
      <c r="AB16" s="111"/>
    </row>
    <row r="17" spans="3:28" x14ac:dyDescent="0.2">
      <c r="C17" s="37" t="s">
        <v>51</v>
      </c>
      <c r="V17" s="111"/>
      <c r="W17" s="111"/>
      <c r="X17" s="111"/>
      <c r="Y17" s="111"/>
      <c r="Z17" s="111"/>
      <c r="AA17" s="111"/>
      <c r="AB17" s="111"/>
    </row>
    <row r="18" spans="3:28" x14ac:dyDescent="0.2">
      <c r="C18" s="106" t="s">
        <v>52</v>
      </c>
      <c r="D18" s="58">
        <v>17.3</v>
      </c>
      <c r="E18" s="58">
        <v>15.3</v>
      </c>
      <c r="F18" s="71">
        <v>15.4</v>
      </c>
      <c r="G18" s="56">
        <f>(43925/291503*100)</f>
        <v>15.068455556203538</v>
      </c>
      <c r="H18" s="56">
        <v>16.100000000000001</v>
      </c>
      <c r="I18" s="56">
        <v>15.8</v>
      </c>
      <c r="J18" s="56">
        <v>15.7</v>
      </c>
      <c r="K18" s="56">
        <v>15.5</v>
      </c>
      <c r="L18" s="56">
        <v>15.6</v>
      </c>
      <c r="M18" s="56">
        <v>15.7</v>
      </c>
      <c r="N18" s="56">
        <v>15.6</v>
      </c>
      <c r="O18" s="56">
        <v>15.8</v>
      </c>
      <c r="P18" s="56">
        <v>15.8</v>
      </c>
      <c r="Q18" s="56">
        <v>15.8</v>
      </c>
      <c r="R18" s="56">
        <v>15.8</v>
      </c>
      <c r="S18" s="56">
        <v>16.399999999999999</v>
      </c>
      <c r="V18" s="111"/>
      <c r="W18" s="111"/>
      <c r="X18" s="111"/>
      <c r="Y18" s="111"/>
      <c r="Z18" s="111"/>
      <c r="AA18" s="111"/>
      <c r="AB18" s="111"/>
    </row>
    <row r="19" spans="3:28" x14ac:dyDescent="0.2">
      <c r="C19" s="106" t="s">
        <v>53</v>
      </c>
      <c r="D19" s="58">
        <v>23.3</v>
      </c>
      <c r="E19" s="58">
        <v>24.9</v>
      </c>
      <c r="F19" s="71">
        <v>21.79</v>
      </c>
      <c r="G19" s="56">
        <f>SUM(62832/291503*100)</f>
        <v>21.554495150993301</v>
      </c>
      <c r="H19" s="56">
        <v>21.8</v>
      </c>
      <c r="I19" s="56">
        <v>21.7</v>
      </c>
      <c r="J19" s="56">
        <v>21.1</v>
      </c>
      <c r="K19" s="56">
        <v>20.8</v>
      </c>
      <c r="L19" s="56">
        <v>20.399999999999999</v>
      </c>
      <c r="M19" s="56">
        <v>19.8</v>
      </c>
      <c r="N19" s="56">
        <v>19.899999999999999</v>
      </c>
      <c r="O19" s="56">
        <v>20.100000000000001</v>
      </c>
      <c r="P19" s="56">
        <v>20.100000000000001</v>
      </c>
      <c r="Q19" s="56">
        <v>20.100000000000001</v>
      </c>
      <c r="R19" s="56">
        <v>20.100000000000001</v>
      </c>
      <c r="S19" s="56">
        <v>19.399999999999999</v>
      </c>
      <c r="V19" s="111"/>
      <c r="W19" s="111"/>
      <c r="X19" s="111"/>
      <c r="Y19" s="111"/>
      <c r="Z19" s="111"/>
      <c r="AA19" s="111"/>
      <c r="AB19" s="111"/>
    </row>
    <row r="20" spans="3:28" x14ac:dyDescent="0.2">
      <c r="C20" s="106" t="s">
        <v>54</v>
      </c>
      <c r="D20" s="58">
        <v>29.8</v>
      </c>
      <c r="E20" s="58">
        <v>29</v>
      </c>
      <c r="F20" s="71">
        <v>30.18</v>
      </c>
      <c r="G20" s="56">
        <f>SUM(84496/291503*100)</f>
        <v>28.986322610745002</v>
      </c>
      <c r="H20" s="56">
        <v>28.2</v>
      </c>
      <c r="I20" s="56">
        <v>27.5</v>
      </c>
      <c r="J20" s="56">
        <v>27.4</v>
      </c>
      <c r="K20" s="56">
        <v>26.8</v>
      </c>
      <c r="L20" s="56">
        <v>26.3</v>
      </c>
      <c r="M20" s="56">
        <v>26.1</v>
      </c>
      <c r="N20" s="56">
        <v>25.5</v>
      </c>
      <c r="O20" s="56">
        <v>24.7</v>
      </c>
      <c r="P20" s="56">
        <v>24.7</v>
      </c>
      <c r="Q20" s="56">
        <v>24.7</v>
      </c>
      <c r="R20" s="56">
        <v>24.7</v>
      </c>
      <c r="S20" s="56">
        <v>24.4</v>
      </c>
    </row>
    <row r="21" spans="3:28" x14ac:dyDescent="0.2">
      <c r="C21" s="106" t="s">
        <v>55</v>
      </c>
      <c r="D21" s="58">
        <v>19.899999999999999</v>
      </c>
      <c r="E21" s="58">
        <v>20.2</v>
      </c>
      <c r="F21" s="71">
        <v>21.49</v>
      </c>
      <c r="G21" s="56">
        <f>SUM(62977/291503*100)</f>
        <v>21.6042373491868</v>
      </c>
      <c r="H21" s="56">
        <v>21</v>
      </c>
      <c r="I21" s="56">
        <v>21.3</v>
      </c>
      <c r="J21" s="56">
        <v>21.5</v>
      </c>
      <c r="K21" s="56">
        <v>21.9</v>
      </c>
      <c r="L21" s="56">
        <v>22.2</v>
      </c>
      <c r="M21" s="56">
        <v>22.6</v>
      </c>
      <c r="N21" s="56">
        <v>22.6</v>
      </c>
      <c r="O21" s="56">
        <v>22.4</v>
      </c>
      <c r="P21" s="56">
        <v>22.4</v>
      </c>
      <c r="Q21" s="56">
        <v>22.4</v>
      </c>
      <c r="R21" s="56">
        <v>22.4</v>
      </c>
      <c r="S21" s="56">
        <v>22.6</v>
      </c>
    </row>
    <row r="22" spans="3:28" x14ac:dyDescent="0.2">
      <c r="C22" s="106" t="s">
        <v>56</v>
      </c>
      <c r="D22" s="58">
        <v>9.6999999999999993</v>
      </c>
      <c r="E22" s="58">
        <v>10.6</v>
      </c>
      <c r="F22" s="71">
        <v>11.14</v>
      </c>
      <c r="G22" s="56">
        <f>SUM(37269/291503*100)</f>
        <v>12.785117134300506</v>
      </c>
      <c r="H22" s="56">
        <v>12.9</v>
      </c>
      <c r="I22" s="56">
        <v>13.6</v>
      </c>
      <c r="J22" s="56">
        <v>14.4</v>
      </c>
      <c r="K22" s="56">
        <v>15</v>
      </c>
      <c r="L22" s="56">
        <v>15.5</v>
      </c>
      <c r="M22" s="56">
        <v>15.8</v>
      </c>
      <c r="N22" s="56">
        <v>16.37</v>
      </c>
      <c r="O22" s="56">
        <v>17</v>
      </c>
      <c r="P22" s="56">
        <v>17</v>
      </c>
      <c r="Q22" s="56">
        <v>17</v>
      </c>
      <c r="R22" s="56">
        <v>17</v>
      </c>
      <c r="S22" s="56">
        <v>17.2</v>
      </c>
      <c r="V22" s="111"/>
      <c r="W22" s="111"/>
      <c r="X22" s="111"/>
      <c r="Y22" s="111"/>
      <c r="Z22" s="111"/>
      <c r="AA22" s="111"/>
      <c r="AB22" s="111"/>
    </row>
    <row r="23" spans="3:28" x14ac:dyDescent="0.2">
      <c r="C23" s="106" t="s">
        <v>57</v>
      </c>
      <c r="D23" s="69" t="s">
        <v>58</v>
      </c>
      <c r="E23" s="69" t="s">
        <v>58</v>
      </c>
      <c r="F23" s="69" t="s">
        <v>58</v>
      </c>
      <c r="G23" s="69" t="s">
        <v>58</v>
      </c>
      <c r="H23" s="69" t="s">
        <v>58</v>
      </c>
      <c r="I23" s="69" t="s">
        <v>58</v>
      </c>
      <c r="J23" s="69" t="s">
        <v>58</v>
      </c>
      <c r="K23" s="69" t="s">
        <v>58</v>
      </c>
      <c r="L23" s="113" t="s">
        <v>58</v>
      </c>
      <c r="M23" s="113">
        <v>0</v>
      </c>
      <c r="N23" s="113">
        <v>0</v>
      </c>
      <c r="O23" s="113">
        <v>0</v>
      </c>
      <c r="P23" s="113">
        <v>1</v>
      </c>
      <c r="Q23" s="113">
        <v>2</v>
      </c>
      <c r="R23" s="113">
        <v>3</v>
      </c>
      <c r="S23" s="113">
        <v>0</v>
      </c>
    </row>
    <row r="24" spans="3:28" x14ac:dyDescent="0.2"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</row>
    <row r="25" spans="3:28" x14ac:dyDescent="0.2">
      <c r="C25" s="37" t="s">
        <v>59</v>
      </c>
    </row>
    <row r="26" spans="3:28" x14ac:dyDescent="0.2">
      <c r="C26" s="114" t="s">
        <v>60</v>
      </c>
      <c r="D26" s="4">
        <v>12.7</v>
      </c>
      <c r="E26" s="4">
        <v>12.2</v>
      </c>
      <c r="F26" s="4">
        <v>13.6</v>
      </c>
      <c r="G26" s="4">
        <v>14.1</v>
      </c>
      <c r="H26" s="4">
        <v>13.6</v>
      </c>
      <c r="I26" s="4">
        <v>12.9</v>
      </c>
      <c r="J26" s="4">
        <v>12.6</v>
      </c>
      <c r="K26" s="4">
        <v>12.8</v>
      </c>
      <c r="L26" s="4">
        <v>13.1</v>
      </c>
      <c r="M26" s="4">
        <v>11.9</v>
      </c>
      <c r="N26" s="4">
        <v>11.2</v>
      </c>
      <c r="O26" s="56">
        <v>11</v>
      </c>
      <c r="P26" s="56">
        <v>11</v>
      </c>
      <c r="Q26" s="56">
        <v>11</v>
      </c>
      <c r="R26" s="56">
        <v>11</v>
      </c>
      <c r="S26" s="56">
        <v>12.1</v>
      </c>
    </row>
    <row r="27" spans="3:28" x14ac:dyDescent="0.2">
      <c r="C27" s="4" t="s">
        <v>61</v>
      </c>
      <c r="D27" s="58">
        <v>38.200000000000003</v>
      </c>
      <c r="E27" s="71">
        <v>33.5</v>
      </c>
      <c r="F27" s="71">
        <v>38</v>
      </c>
      <c r="G27" s="56">
        <v>38.799999999999997</v>
      </c>
      <c r="H27" s="56">
        <v>39.5</v>
      </c>
      <c r="I27" s="56">
        <v>37.700000000000003</v>
      </c>
      <c r="J27" s="56">
        <v>36.1</v>
      </c>
      <c r="K27" s="56">
        <v>37.299999999999997</v>
      </c>
      <c r="L27" s="56">
        <v>37.5</v>
      </c>
      <c r="M27" s="56">
        <v>35.700000000000003</v>
      </c>
      <c r="N27" s="56">
        <v>35.6</v>
      </c>
      <c r="O27" s="56">
        <v>35.799999999999997</v>
      </c>
      <c r="P27" s="56">
        <v>35.799999999999997</v>
      </c>
      <c r="Q27" s="56">
        <v>35.799999999999997</v>
      </c>
      <c r="R27" s="56">
        <v>35.799999999999997</v>
      </c>
      <c r="S27" s="56">
        <v>38.700000000000003</v>
      </c>
      <c r="V27" s="87"/>
      <c r="W27" s="87"/>
      <c r="X27" s="87"/>
      <c r="Y27" s="87"/>
      <c r="Z27" s="87"/>
      <c r="AA27" s="87"/>
      <c r="AB27" s="87"/>
    </row>
    <row r="28" spans="3:28" x14ac:dyDescent="0.2">
      <c r="C28" s="4" t="s">
        <v>62</v>
      </c>
      <c r="D28" s="58">
        <v>16.5</v>
      </c>
      <c r="E28" s="71">
        <v>13.5</v>
      </c>
      <c r="F28" s="71">
        <v>14.3</v>
      </c>
      <c r="G28" s="56">
        <v>15.5</v>
      </c>
      <c r="H28" s="56">
        <v>16.100000000000001</v>
      </c>
      <c r="I28" s="56">
        <v>15.8</v>
      </c>
      <c r="J28" s="56">
        <v>15.3</v>
      </c>
      <c r="K28" s="56">
        <v>15.7</v>
      </c>
      <c r="L28" s="56">
        <v>16</v>
      </c>
      <c r="M28" s="56">
        <v>15.3</v>
      </c>
      <c r="N28" s="56">
        <v>14.8</v>
      </c>
      <c r="O28" s="56">
        <v>15.1</v>
      </c>
      <c r="P28" s="56">
        <v>15.1</v>
      </c>
      <c r="Q28" s="56">
        <v>15.1</v>
      </c>
      <c r="R28" s="56">
        <v>15.1</v>
      </c>
      <c r="S28" s="56">
        <v>17</v>
      </c>
      <c r="V28" s="87"/>
      <c r="W28" s="87"/>
      <c r="X28" s="87"/>
      <c r="Y28" s="87"/>
      <c r="Z28" s="87"/>
      <c r="AA28" s="87"/>
      <c r="AB28" s="87"/>
    </row>
    <row r="29" spans="3:28" x14ac:dyDescent="0.2">
      <c r="C29" s="114" t="s">
        <v>63</v>
      </c>
      <c r="D29" s="58">
        <v>8.1</v>
      </c>
      <c r="E29" s="71">
        <v>7.6</v>
      </c>
      <c r="F29" s="71">
        <v>8.5</v>
      </c>
      <c r="G29" s="56">
        <v>9.6</v>
      </c>
      <c r="H29" s="56">
        <v>9.9</v>
      </c>
      <c r="I29" s="56">
        <v>10.1</v>
      </c>
      <c r="J29" s="56">
        <v>10</v>
      </c>
      <c r="K29" s="56">
        <v>10.5</v>
      </c>
      <c r="L29" s="56">
        <v>10.6</v>
      </c>
      <c r="M29" s="56">
        <v>10.199999999999999</v>
      </c>
      <c r="N29" s="56">
        <v>10</v>
      </c>
      <c r="O29" s="56">
        <v>10.14</v>
      </c>
      <c r="P29" s="56">
        <v>10.14</v>
      </c>
      <c r="Q29" s="56">
        <v>10.14</v>
      </c>
      <c r="R29" s="56">
        <v>10.14</v>
      </c>
      <c r="S29" s="56">
        <v>11.5</v>
      </c>
      <c r="V29" s="87"/>
      <c r="W29" s="87"/>
      <c r="X29" s="87"/>
      <c r="Y29" s="87"/>
      <c r="Z29" s="87"/>
      <c r="AA29" s="87"/>
      <c r="AB29" s="87"/>
    </row>
    <row r="30" spans="3:28" x14ac:dyDescent="0.2">
      <c r="C30" s="114" t="s">
        <v>64</v>
      </c>
      <c r="D30" s="58">
        <v>9</v>
      </c>
      <c r="E30" s="71">
        <v>8.5</v>
      </c>
      <c r="F30" s="71">
        <v>7.5</v>
      </c>
      <c r="G30" s="56">
        <v>7.6</v>
      </c>
      <c r="H30" s="56">
        <v>7.8</v>
      </c>
      <c r="I30" s="56">
        <v>7.6</v>
      </c>
      <c r="J30" s="56">
        <v>6.9</v>
      </c>
      <c r="K30" s="56">
        <v>7.1</v>
      </c>
      <c r="L30" s="56">
        <v>7.1</v>
      </c>
      <c r="M30" s="56">
        <v>5.9</v>
      </c>
      <c r="N30" s="56">
        <v>5.0999999999999996</v>
      </c>
      <c r="O30" s="56">
        <v>4.9000000000000004</v>
      </c>
      <c r="P30" s="56">
        <v>4.9000000000000004</v>
      </c>
      <c r="Q30" s="56">
        <v>4.9000000000000004</v>
      </c>
      <c r="R30" s="56">
        <v>4.9000000000000004</v>
      </c>
      <c r="S30" s="56">
        <v>5.5</v>
      </c>
      <c r="V30" s="87"/>
      <c r="W30" s="87"/>
      <c r="X30" s="87"/>
      <c r="Y30" s="87"/>
      <c r="Z30" s="87"/>
      <c r="AA30" s="87"/>
      <c r="AB30" s="87"/>
    </row>
    <row r="31" spans="3:28" x14ac:dyDescent="0.2">
      <c r="C31" s="114" t="s">
        <v>65</v>
      </c>
      <c r="D31" s="58">
        <v>15.5</v>
      </c>
      <c r="E31" s="71">
        <v>24.7</v>
      </c>
      <c r="F31" s="71">
        <v>18.100000000000001</v>
      </c>
      <c r="G31" s="56">
        <v>14.4</v>
      </c>
      <c r="H31" s="56">
        <v>13</v>
      </c>
      <c r="I31" s="56">
        <v>15.9</v>
      </c>
      <c r="J31" s="56">
        <v>19.100000000000001</v>
      </c>
      <c r="K31" s="56">
        <v>16.600000000000001</v>
      </c>
      <c r="L31" s="56">
        <v>15.7</v>
      </c>
      <c r="M31" s="56">
        <v>21</v>
      </c>
      <c r="N31" s="56">
        <v>23.3</v>
      </c>
      <c r="O31" s="56">
        <v>23.1</v>
      </c>
      <c r="P31" s="56">
        <v>23.1</v>
      </c>
      <c r="Q31" s="56">
        <v>23.1</v>
      </c>
      <c r="R31" s="56">
        <v>23.1</v>
      </c>
      <c r="S31" s="56">
        <v>15.2</v>
      </c>
      <c r="V31" s="87"/>
      <c r="W31" s="87"/>
      <c r="X31" s="87"/>
      <c r="Y31" s="87"/>
      <c r="Z31" s="87"/>
      <c r="AA31" s="87"/>
      <c r="AB31" s="87"/>
    </row>
    <row r="32" spans="3:28" x14ac:dyDescent="0.2"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V32" s="87"/>
      <c r="W32" s="87"/>
      <c r="X32" s="87"/>
      <c r="Y32" s="87"/>
      <c r="Z32" s="87"/>
      <c r="AA32" s="87"/>
      <c r="AB32" s="87"/>
    </row>
    <row r="33" spans="3:28" x14ac:dyDescent="0.2"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87"/>
      <c r="W33" s="87"/>
      <c r="X33" s="87"/>
      <c r="Y33" s="87"/>
      <c r="Z33" s="87"/>
      <c r="AA33" s="87"/>
      <c r="AB33" s="87"/>
    </row>
    <row r="34" spans="3:28" x14ac:dyDescent="0.2">
      <c r="C34" s="37" t="s">
        <v>66</v>
      </c>
      <c r="V34" s="87"/>
      <c r="W34" s="87"/>
      <c r="X34" s="87"/>
      <c r="Y34" s="87"/>
      <c r="Z34" s="87"/>
      <c r="AA34" s="87"/>
      <c r="AB34" s="87"/>
    </row>
    <row r="35" spans="3:28" x14ac:dyDescent="0.2">
      <c r="C35" s="4" t="s">
        <v>67</v>
      </c>
      <c r="D35" s="58">
        <v>66.599999999999994</v>
      </c>
      <c r="E35" s="58">
        <v>51</v>
      </c>
      <c r="F35" s="59">
        <v>63.3</v>
      </c>
      <c r="G35" s="56">
        <v>66.400000000000006</v>
      </c>
      <c r="H35" s="56">
        <v>68.400000000000006</v>
      </c>
      <c r="I35" s="56">
        <v>69.099999999999994</v>
      </c>
      <c r="J35" s="56">
        <v>69.900000000000006</v>
      </c>
      <c r="K35" s="56">
        <v>71.8</v>
      </c>
      <c r="L35" s="56">
        <v>72</v>
      </c>
      <c r="M35" s="56">
        <v>70.3</v>
      </c>
      <c r="N35" s="56">
        <v>69.099999999999994</v>
      </c>
      <c r="O35" s="56">
        <v>69.900000000000006</v>
      </c>
      <c r="P35" s="56">
        <v>69.900000000000006</v>
      </c>
      <c r="Q35" s="56">
        <v>69.900000000000006</v>
      </c>
      <c r="R35" s="56">
        <v>69.900000000000006</v>
      </c>
      <c r="S35" s="56">
        <v>73.2</v>
      </c>
      <c r="V35" s="87"/>
      <c r="W35" s="87"/>
      <c r="X35" s="87"/>
      <c r="Y35" s="87"/>
      <c r="Z35" s="87"/>
      <c r="AA35" s="87"/>
      <c r="AB35" s="87"/>
    </row>
    <row r="36" spans="3:28" x14ac:dyDescent="0.2">
      <c r="C36" s="4" t="s">
        <v>68</v>
      </c>
      <c r="D36" s="58">
        <v>5.5</v>
      </c>
      <c r="E36" s="58">
        <v>7.3</v>
      </c>
      <c r="F36" s="59">
        <v>7.2</v>
      </c>
      <c r="G36" s="56">
        <v>7.2</v>
      </c>
      <c r="H36" s="56">
        <v>6.2</v>
      </c>
      <c r="I36" s="56">
        <v>5.7</v>
      </c>
      <c r="J36" s="56">
        <v>5.8</v>
      </c>
      <c r="K36" s="56">
        <v>5.9</v>
      </c>
      <c r="L36" s="56">
        <v>6.4</v>
      </c>
      <c r="M36" s="56">
        <v>5.7</v>
      </c>
      <c r="N36" s="56">
        <v>5</v>
      </c>
      <c r="O36" s="56">
        <v>4.8</v>
      </c>
      <c r="P36" s="56">
        <v>4.8</v>
      </c>
      <c r="Q36" s="56">
        <v>4.8</v>
      </c>
      <c r="R36" s="56">
        <v>4.8</v>
      </c>
      <c r="S36" s="56">
        <v>5.5</v>
      </c>
    </row>
    <row r="37" spans="3:28" x14ac:dyDescent="0.2">
      <c r="C37" s="114" t="s">
        <v>69</v>
      </c>
      <c r="D37" s="58">
        <v>8.1999999999999993</v>
      </c>
      <c r="E37" s="58">
        <v>12.1</v>
      </c>
      <c r="F37" s="59">
        <v>8.1999999999999993</v>
      </c>
      <c r="G37" s="56">
        <v>9.3000000000000007</v>
      </c>
      <c r="H37" s="56">
        <v>9.1</v>
      </c>
      <c r="I37" s="56">
        <v>9.6999999999999993</v>
      </c>
      <c r="J37" s="56">
        <v>8.1</v>
      </c>
      <c r="K37" s="56">
        <v>7.8</v>
      </c>
      <c r="L37" s="56">
        <v>7.4</v>
      </c>
      <c r="M37" s="56">
        <v>6.2</v>
      </c>
      <c r="N37" s="56">
        <v>5.0999999999999996</v>
      </c>
      <c r="O37" s="56">
        <v>5.3</v>
      </c>
      <c r="P37" s="56">
        <v>5.3</v>
      </c>
      <c r="Q37" s="56">
        <v>5.3</v>
      </c>
      <c r="R37" s="56">
        <v>5.3</v>
      </c>
      <c r="S37" s="56">
        <v>5.6</v>
      </c>
    </row>
    <row r="38" spans="3:28" x14ac:dyDescent="0.2">
      <c r="C38" s="114" t="s">
        <v>70</v>
      </c>
      <c r="D38" s="58">
        <v>7.1</v>
      </c>
      <c r="E38" s="58">
        <v>7.3</v>
      </c>
      <c r="F38" s="59">
        <v>7.6</v>
      </c>
      <c r="G38" s="56">
        <v>6.9</v>
      </c>
      <c r="H38" s="56">
        <v>6.1</v>
      </c>
      <c r="I38" s="56">
        <v>5.4</v>
      </c>
      <c r="J38" s="56">
        <v>5.7</v>
      </c>
      <c r="K38" s="56">
        <v>5.7</v>
      </c>
      <c r="L38" s="56">
        <v>5.6</v>
      </c>
      <c r="M38" s="56">
        <v>4.5999999999999996</v>
      </c>
      <c r="N38" s="56">
        <v>3.8</v>
      </c>
      <c r="O38" s="56">
        <v>3.6</v>
      </c>
      <c r="P38" s="56">
        <v>3.6</v>
      </c>
      <c r="Q38" s="56">
        <v>3.6</v>
      </c>
      <c r="R38" s="56">
        <v>3.6</v>
      </c>
      <c r="S38" s="56">
        <v>4</v>
      </c>
      <c r="V38" s="85"/>
      <c r="W38" s="85"/>
      <c r="X38" s="85"/>
      <c r="Y38" s="85"/>
      <c r="Z38" s="85"/>
      <c r="AA38" s="85"/>
      <c r="AB38" s="85"/>
    </row>
    <row r="39" spans="3:28" x14ac:dyDescent="0.2">
      <c r="C39" s="4" t="s">
        <v>65</v>
      </c>
      <c r="D39" s="58">
        <v>2.6</v>
      </c>
      <c r="E39" s="58">
        <v>2.2999999999999998</v>
      </c>
      <c r="F39" s="59">
        <v>2.6</v>
      </c>
      <c r="G39" s="56">
        <v>3.4</v>
      </c>
      <c r="H39" s="56">
        <v>4.2</v>
      </c>
      <c r="I39" s="56">
        <v>3.2</v>
      </c>
      <c r="J39" s="56">
        <v>3.4</v>
      </c>
      <c r="K39" s="56">
        <v>3.5</v>
      </c>
      <c r="L39" s="56">
        <v>3.8</v>
      </c>
      <c r="M39" s="56">
        <v>5.5</v>
      </c>
      <c r="N39" s="56">
        <v>8.4</v>
      </c>
      <c r="O39" s="56">
        <v>7.8</v>
      </c>
      <c r="P39" s="56">
        <v>7.8</v>
      </c>
      <c r="Q39" s="56">
        <v>7.8</v>
      </c>
      <c r="R39" s="56">
        <v>7.8</v>
      </c>
      <c r="S39" s="56">
        <v>5.3</v>
      </c>
      <c r="V39" s="85"/>
      <c r="W39" s="85"/>
      <c r="X39" s="85"/>
      <c r="Y39" s="85"/>
      <c r="Z39" s="85"/>
      <c r="AA39" s="85"/>
      <c r="AB39" s="85"/>
    </row>
    <row r="40" spans="3:28" x14ac:dyDescent="0.2">
      <c r="C40" s="4" t="s">
        <v>57</v>
      </c>
      <c r="D40" s="58">
        <v>10</v>
      </c>
      <c r="E40" s="58">
        <v>20</v>
      </c>
      <c r="F40" s="59">
        <v>11.2</v>
      </c>
      <c r="G40" s="56">
        <v>6.9</v>
      </c>
      <c r="H40" s="56">
        <v>5.9</v>
      </c>
      <c r="I40" s="56">
        <v>6.9</v>
      </c>
      <c r="J40" s="56">
        <v>7.1</v>
      </c>
      <c r="K40" s="56">
        <v>5.3</v>
      </c>
      <c r="L40" s="56">
        <v>4.8</v>
      </c>
      <c r="M40" s="56">
        <v>7.7</v>
      </c>
      <c r="N40" s="56">
        <v>8.6</v>
      </c>
      <c r="O40" s="56">
        <v>8.6</v>
      </c>
      <c r="P40" s="56">
        <v>8.6</v>
      </c>
      <c r="Q40" s="56">
        <v>8.6</v>
      </c>
      <c r="R40" s="56">
        <v>8.6</v>
      </c>
      <c r="S40" s="56">
        <v>6.41</v>
      </c>
      <c r="U40" s="114"/>
      <c r="V40" s="85"/>
      <c r="W40" s="85"/>
      <c r="X40" s="85"/>
      <c r="Y40" s="85"/>
      <c r="Z40" s="85"/>
      <c r="AA40" s="85"/>
      <c r="AB40" s="85"/>
    </row>
    <row r="41" spans="3:28" ht="14.25" x14ac:dyDescent="0.2">
      <c r="D41" s="85"/>
      <c r="E41" s="85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U41" s="114"/>
      <c r="V41" s="85"/>
      <c r="W41" s="85"/>
      <c r="X41" s="85"/>
      <c r="Y41" s="85"/>
      <c r="Z41" s="85"/>
      <c r="AA41" s="85"/>
      <c r="AB41" s="85"/>
    </row>
    <row r="42" spans="3:28" ht="14.25" x14ac:dyDescent="0.2">
      <c r="C42" s="37" t="s">
        <v>71</v>
      </c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V42" s="85"/>
      <c r="W42" s="85"/>
      <c r="X42" s="85"/>
      <c r="Y42" s="85"/>
      <c r="Z42" s="85"/>
      <c r="AA42" s="85"/>
      <c r="AB42" s="85"/>
    </row>
    <row r="43" spans="3:28" x14ac:dyDescent="0.2">
      <c r="C43" s="4" t="s">
        <v>72</v>
      </c>
      <c r="D43" s="69">
        <v>45</v>
      </c>
      <c r="E43" s="71">
        <v>34.979999999999997</v>
      </c>
      <c r="F43" s="71">
        <v>44.69</v>
      </c>
      <c r="G43" s="71">
        <v>45.82</v>
      </c>
      <c r="H43" s="71">
        <v>47.2</v>
      </c>
      <c r="I43" s="71">
        <v>43</v>
      </c>
      <c r="J43" s="71">
        <v>41.4</v>
      </c>
      <c r="K43" s="71">
        <v>44.9</v>
      </c>
      <c r="L43" s="71">
        <v>45.3</v>
      </c>
      <c r="M43" s="71">
        <v>43.8</v>
      </c>
      <c r="N43" s="71">
        <v>43.9</v>
      </c>
      <c r="O43" s="71">
        <v>42.4</v>
      </c>
      <c r="P43" s="71">
        <v>42.4</v>
      </c>
      <c r="Q43" s="71">
        <v>42.4</v>
      </c>
      <c r="R43" s="71">
        <v>42.4</v>
      </c>
      <c r="S43" s="71">
        <v>45</v>
      </c>
      <c r="V43" s="85"/>
      <c r="W43" s="85"/>
      <c r="X43" s="85"/>
      <c r="Y43" s="85"/>
      <c r="Z43" s="85"/>
      <c r="AA43" s="85"/>
      <c r="AB43" s="85"/>
    </row>
    <row r="44" spans="3:28" x14ac:dyDescent="0.2">
      <c r="C44" s="4" t="s">
        <v>73</v>
      </c>
      <c r="D44" s="58">
        <v>12.6</v>
      </c>
      <c r="E44" s="71">
        <v>11.2</v>
      </c>
      <c r="F44" s="71">
        <v>12.65</v>
      </c>
      <c r="G44" s="71">
        <v>13.52</v>
      </c>
      <c r="H44" s="71">
        <v>13.8</v>
      </c>
      <c r="I44" s="71">
        <v>13.4</v>
      </c>
      <c r="J44" s="71">
        <v>12.8</v>
      </c>
      <c r="K44" s="71">
        <v>13.4</v>
      </c>
      <c r="L44" s="71">
        <v>14.3</v>
      </c>
      <c r="M44" s="71">
        <v>13.4</v>
      </c>
      <c r="N44" s="71">
        <v>12.5</v>
      </c>
      <c r="O44" s="71">
        <v>12.8</v>
      </c>
      <c r="P44" s="71">
        <v>12.8</v>
      </c>
      <c r="Q44" s="71">
        <v>12.8</v>
      </c>
      <c r="R44" s="71">
        <v>12.8</v>
      </c>
      <c r="S44" s="71">
        <v>14</v>
      </c>
    </row>
    <row r="45" spans="3:28" x14ac:dyDescent="0.2">
      <c r="C45" s="4" t="s">
        <v>74</v>
      </c>
      <c r="D45" s="58">
        <v>28</v>
      </c>
      <c r="E45" s="71">
        <v>30.62</v>
      </c>
      <c r="F45" s="71">
        <v>27.5</v>
      </c>
      <c r="G45" s="71">
        <v>29.21</v>
      </c>
      <c r="H45" s="71">
        <v>29.5</v>
      </c>
      <c r="I45" s="71">
        <v>30.5</v>
      </c>
      <c r="J45" s="71">
        <v>28.9</v>
      </c>
      <c r="K45" s="71">
        <v>28.8</v>
      </c>
      <c r="L45" s="71">
        <v>29.5</v>
      </c>
      <c r="M45" s="71">
        <v>27.7</v>
      </c>
      <c r="N45" s="71">
        <v>25.8</v>
      </c>
      <c r="O45" s="71">
        <v>27.1</v>
      </c>
      <c r="P45" s="71">
        <v>27.1</v>
      </c>
      <c r="Q45" s="71">
        <v>27.1</v>
      </c>
      <c r="R45" s="71">
        <v>27.1</v>
      </c>
      <c r="S45" s="71">
        <v>30</v>
      </c>
      <c r="V45" s="85"/>
      <c r="W45" s="85"/>
      <c r="X45" s="85"/>
      <c r="Y45" s="85"/>
      <c r="Z45" s="85"/>
      <c r="AA45" s="85"/>
      <c r="AB45" s="85"/>
    </row>
    <row r="46" spans="3:28" x14ac:dyDescent="0.2">
      <c r="C46" s="4" t="s">
        <v>57</v>
      </c>
      <c r="D46" s="69">
        <v>14.4</v>
      </c>
      <c r="E46" s="71">
        <v>23.2</v>
      </c>
      <c r="F46" s="71">
        <v>15.15</v>
      </c>
      <c r="G46" s="71">
        <v>11.45</v>
      </c>
      <c r="H46" s="71">
        <v>9.5</v>
      </c>
      <c r="I46" s="71">
        <v>13.1</v>
      </c>
      <c r="J46" s="71">
        <v>16.899999999999999</v>
      </c>
      <c r="K46" s="71">
        <v>12.9</v>
      </c>
      <c r="L46" s="71">
        <v>10.9</v>
      </c>
      <c r="M46" s="71">
        <v>15.1</v>
      </c>
      <c r="N46" s="71">
        <v>17.8</v>
      </c>
      <c r="O46" s="71">
        <v>17.7</v>
      </c>
      <c r="P46" s="71">
        <v>17.7</v>
      </c>
      <c r="Q46" s="71">
        <v>17.7</v>
      </c>
      <c r="R46" s="71">
        <v>17.7</v>
      </c>
      <c r="S46" s="71">
        <v>11</v>
      </c>
      <c r="V46" s="85"/>
      <c r="W46" s="85"/>
      <c r="X46" s="85"/>
      <c r="Y46" s="85"/>
      <c r="Z46" s="85"/>
      <c r="AA46" s="85"/>
      <c r="AB46" s="85"/>
    </row>
    <row r="47" spans="3:28" x14ac:dyDescent="0.2">
      <c r="D47" s="117"/>
      <c r="E47" s="117"/>
      <c r="F47" s="117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U47" s="114"/>
      <c r="V47" s="85"/>
      <c r="W47" s="85"/>
      <c r="X47" s="85"/>
      <c r="Y47" s="85"/>
      <c r="Z47" s="85"/>
      <c r="AA47" s="85"/>
      <c r="AB47" s="85"/>
    </row>
    <row r="48" spans="3:28" x14ac:dyDescent="0.2">
      <c r="C48" s="37" t="s">
        <v>75</v>
      </c>
      <c r="U48" s="114"/>
      <c r="V48" s="85"/>
      <c r="W48" s="85"/>
      <c r="X48" s="85"/>
      <c r="Y48" s="85"/>
      <c r="Z48" s="85"/>
      <c r="AA48" s="85"/>
      <c r="AB48" s="85"/>
    </row>
    <row r="49" spans="2:28" x14ac:dyDescent="0.2">
      <c r="C49" s="114" t="s">
        <v>76</v>
      </c>
      <c r="D49" s="58">
        <v>50.5</v>
      </c>
      <c r="E49" s="58">
        <v>43.5</v>
      </c>
      <c r="F49" s="71">
        <v>54.8</v>
      </c>
      <c r="G49" s="56">
        <v>52.7</v>
      </c>
      <c r="H49" s="4">
        <v>51.5</v>
      </c>
      <c r="I49" s="56">
        <v>49.8</v>
      </c>
      <c r="J49" s="56">
        <v>49.7</v>
      </c>
      <c r="K49" s="56">
        <v>50.1</v>
      </c>
      <c r="L49" s="56">
        <v>49.1</v>
      </c>
      <c r="M49" s="56">
        <v>46.5</v>
      </c>
      <c r="N49" s="56">
        <v>44.2</v>
      </c>
      <c r="O49" s="56">
        <v>44.1</v>
      </c>
      <c r="P49" s="56">
        <v>44.1</v>
      </c>
      <c r="Q49" s="56">
        <v>44.1</v>
      </c>
      <c r="R49" s="56">
        <v>44.1</v>
      </c>
      <c r="S49" s="56">
        <v>46.7</v>
      </c>
      <c r="V49" s="85"/>
      <c r="W49" s="85"/>
      <c r="X49" s="85"/>
      <c r="Y49" s="85"/>
      <c r="Z49" s="85"/>
      <c r="AA49" s="85"/>
      <c r="AB49" s="85"/>
    </row>
    <row r="50" spans="2:28" x14ac:dyDescent="0.2">
      <c r="C50" s="114" t="s">
        <v>77</v>
      </c>
      <c r="D50" s="58">
        <v>23.3</v>
      </c>
      <c r="E50" s="58">
        <v>17.8</v>
      </c>
      <c r="F50" s="71">
        <v>20.100000000000001</v>
      </c>
      <c r="G50" s="56">
        <v>22.1</v>
      </c>
      <c r="H50" s="56">
        <v>24</v>
      </c>
      <c r="I50" s="56">
        <v>24</v>
      </c>
      <c r="J50" s="56">
        <v>23.6</v>
      </c>
      <c r="K50" s="56">
        <v>24.5</v>
      </c>
      <c r="L50" s="56">
        <v>26.7</v>
      </c>
      <c r="M50" s="56">
        <v>28.2</v>
      </c>
      <c r="N50" s="56">
        <v>30.9</v>
      </c>
      <c r="O50" s="56">
        <v>30</v>
      </c>
      <c r="P50" s="56">
        <v>30</v>
      </c>
      <c r="Q50" s="56">
        <v>30</v>
      </c>
      <c r="R50" s="56">
        <v>30</v>
      </c>
      <c r="S50" s="56">
        <v>28.8</v>
      </c>
      <c r="V50" s="85"/>
      <c r="W50" s="85"/>
      <c r="X50" s="85"/>
      <c r="Y50" s="85"/>
      <c r="Z50" s="85"/>
      <c r="AA50" s="85"/>
      <c r="AB50" s="85"/>
    </row>
    <row r="51" spans="2:28" x14ac:dyDescent="0.2">
      <c r="C51" s="4" t="s">
        <v>78</v>
      </c>
      <c r="D51" s="58">
        <v>15.7</v>
      </c>
      <c r="E51" s="58">
        <v>21.9</v>
      </c>
      <c r="F51" s="71">
        <v>14.8</v>
      </c>
      <c r="G51" s="56">
        <v>15.9</v>
      </c>
      <c r="H51" s="4">
        <v>15.9</v>
      </c>
      <c r="I51" s="56">
        <v>16.5</v>
      </c>
      <c r="J51" s="56">
        <v>15.8</v>
      </c>
      <c r="K51" s="56">
        <v>15.7</v>
      </c>
      <c r="L51" s="56">
        <v>15</v>
      </c>
      <c r="M51" s="56">
        <v>13.4</v>
      </c>
      <c r="N51" s="56">
        <v>13.1</v>
      </c>
      <c r="O51" s="56">
        <v>13.4</v>
      </c>
      <c r="P51" s="56">
        <v>13.4</v>
      </c>
      <c r="Q51" s="56">
        <v>13.4</v>
      </c>
      <c r="R51" s="56">
        <v>13.4</v>
      </c>
      <c r="S51" s="56">
        <v>14.5</v>
      </c>
    </row>
    <row r="52" spans="2:28" x14ac:dyDescent="0.2">
      <c r="C52" s="114" t="s">
        <v>79</v>
      </c>
      <c r="D52" s="58">
        <v>4.0999999999999996</v>
      </c>
      <c r="E52" s="58">
        <v>4.2</v>
      </c>
      <c r="F52" s="71">
        <v>4.2</v>
      </c>
      <c r="G52" s="56">
        <v>3.9</v>
      </c>
      <c r="H52" s="4">
        <v>4.5</v>
      </c>
      <c r="I52" s="56">
        <v>5.0999999999999996</v>
      </c>
      <c r="J52" s="56">
        <v>4.7</v>
      </c>
      <c r="K52" s="56">
        <v>4.7</v>
      </c>
      <c r="L52" s="56">
        <v>4</v>
      </c>
      <c r="M52" s="56">
        <v>3.8</v>
      </c>
      <c r="N52" s="56">
        <v>3.9</v>
      </c>
      <c r="O52" s="56">
        <v>3.5</v>
      </c>
      <c r="P52" s="56">
        <v>3.5</v>
      </c>
      <c r="Q52" s="56">
        <v>3.5</v>
      </c>
      <c r="R52" s="56">
        <v>3.5</v>
      </c>
      <c r="S52" s="56">
        <v>2.4</v>
      </c>
    </row>
    <row r="53" spans="2:28" x14ac:dyDescent="0.2">
      <c r="C53" s="114" t="s">
        <v>57</v>
      </c>
      <c r="D53" s="58">
        <v>6.5</v>
      </c>
      <c r="E53" s="58">
        <v>12.6</v>
      </c>
      <c r="F53" s="71">
        <v>6.1</v>
      </c>
      <c r="G53" s="56">
        <v>5.4</v>
      </c>
      <c r="H53" s="4">
        <v>4.2</v>
      </c>
      <c r="I53" s="56">
        <v>4.5999999999999996</v>
      </c>
      <c r="J53" s="56">
        <v>6.2</v>
      </c>
      <c r="K53" s="56">
        <v>5</v>
      </c>
      <c r="L53" s="56">
        <v>5.2</v>
      </c>
      <c r="M53" s="56">
        <v>8.1</v>
      </c>
      <c r="N53" s="56">
        <v>7.9</v>
      </c>
      <c r="O53" s="56">
        <v>9</v>
      </c>
      <c r="P53" s="56">
        <v>9</v>
      </c>
      <c r="Q53" s="56">
        <v>9</v>
      </c>
      <c r="R53" s="56">
        <v>9</v>
      </c>
      <c r="S53" s="56">
        <v>7.6</v>
      </c>
      <c r="W53" s="111"/>
      <c r="Y53" s="111"/>
    </row>
    <row r="54" spans="2:28" x14ac:dyDescent="0.2">
      <c r="B54" s="3"/>
      <c r="C54" s="72"/>
      <c r="D54" s="118"/>
      <c r="E54" s="118"/>
      <c r="F54" s="119"/>
      <c r="G54" s="119"/>
      <c r="H54" s="119"/>
      <c r="I54" s="119"/>
      <c r="J54" s="119"/>
      <c r="K54" s="119"/>
      <c r="L54" s="119"/>
      <c r="M54" s="119"/>
      <c r="N54" s="72"/>
      <c r="O54" s="72"/>
      <c r="P54" s="72"/>
      <c r="Q54" s="72"/>
      <c r="R54" s="72"/>
      <c r="S54" s="72"/>
      <c r="W54" s="111"/>
      <c r="Y54" s="111"/>
    </row>
    <row r="55" spans="2:28" x14ac:dyDescent="0.2">
      <c r="G55" s="56"/>
      <c r="H55" s="56"/>
      <c r="I55" s="56"/>
      <c r="J55" s="56"/>
      <c r="K55" s="56"/>
      <c r="L55" s="56"/>
      <c r="W55" s="111"/>
      <c r="Y55" s="111"/>
    </row>
    <row r="56" spans="2:28" x14ac:dyDescent="0.2">
      <c r="C56" s="78" t="s">
        <v>100</v>
      </c>
      <c r="W56" s="111"/>
      <c r="Y56" s="111"/>
    </row>
    <row r="57" spans="2:28" x14ac:dyDescent="0.2">
      <c r="C57" s="106"/>
    </row>
    <row r="58" spans="2:28" x14ac:dyDescent="0.2">
      <c r="C58" s="78"/>
    </row>
    <row r="59" spans="2:28" x14ac:dyDescent="0.2">
      <c r="C59" s="106"/>
      <c r="W59" s="111"/>
      <c r="Y59" s="111"/>
    </row>
    <row r="60" spans="2:28" x14ac:dyDescent="0.2">
      <c r="C60" s="106"/>
      <c r="I60" s="56"/>
      <c r="J60" s="56"/>
      <c r="K60" s="56"/>
      <c r="L60" s="56"/>
      <c r="M60" s="56"/>
      <c r="N60" s="56"/>
      <c r="O60" s="56"/>
      <c r="W60" s="111"/>
      <c r="Y60" s="111"/>
    </row>
    <row r="61" spans="2:28" x14ac:dyDescent="0.2">
      <c r="C61" s="106"/>
      <c r="I61" s="56"/>
      <c r="J61" s="56"/>
      <c r="K61" s="56"/>
      <c r="L61" s="56"/>
      <c r="M61" s="56"/>
      <c r="N61" s="56"/>
      <c r="O61" s="56"/>
      <c r="W61" s="111"/>
      <c r="Y61" s="111"/>
    </row>
    <row r="62" spans="2:28" ht="14.25" x14ac:dyDescent="0.2">
      <c r="B62" s="84"/>
      <c r="I62" s="56"/>
      <c r="J62" s="56"/>
      <c r="K62" s="56"/>
      <c r="L62" s="56"/>
      <c r="M62" s="56"/>
      <c r="N62" s="56"/>
      <c r="O62" s="56"/>
      <c r="W62" s="111"/>
      <c r="Y62" s="111"/>
    </row>
    <row r="63" spans="2:28" ht="14.25" x14ac:dyDescent="0.2">
      <c r="B63" s="84"/>
      <c r="I63" s="56"/>
      <c r="J63" s="56"/>
      <c r="K63" s="56"/>
      <c r="L63" s="56"/>
      <c r="M63" s="56"/>
      <c r="N63" s="56"/>
      <c r="O63" s="56"/>
    </row>
    <row r="64" spans="2:28" ht="14.25" x14ac:dyDescent="0.2">
      <c r="B64" s="84"/>
      <c r="I64" s="56"/>
      <c r="J64" s="56"/>
      <c r="K64" s="56"/>
      <c r="L64" s="56"/>
      <c r="M64" s="56"/>
      <c r="N64" s="56"/>
      <c r="O64" s="56"/>
    </row>
    <row r="65" spans="2:27" ht="14.25" customHeight="1" x14ac:dyDescent="0.2">
      <c r="C65" s="86"/>
      <c r="I65" s="56"/>
      <c r="J65" s="56"/>
      <c r="K65" s="56"/>
      <c r="L65" s="56"/>
      <c r="M65" s="56"/>
      <c r="N65" s="56"/>
      <c r="O65" s="56"/>
    </row>
    <row r="66" spans="2:27" ht="20.25" customHeight="1" x14ac:dyDescent="0.2">
      <c r="B66" s="86"/>
      <c r="C66" s="86"/>
    </row>
    <row r="67" spans="2:27" x14ac:dyDescent="0.2">
      <c r="B67" s="180"/>
      <c r="C67" s="180"/>
      <c r="D67" s="180"/>
      <c r="E67" s="180"/>
      <c r="F67" s="180"/>
      <c r="G67" s="180"/>
      <c r="H67" s="180"/>
      <c r="I67" s="120"/>
      <c r="U67" s="111"/>
      <c r="V67" s="111"/>
      <c r="W67" s="111"/>
      <c r="X67" s="111"/>
      <c r="Y67" s="111"/>
      <c r="Z67" s="111"/>
      <c r="AA67" s="111"/>
    </row>
    <row r="68" spans="2:27" x14ac:dyDescent="0.2">
      <c r="U68" s="111"/>
      <c r="V68" s="111"/>
      <c r="W68" s="111"/>
      <c r="X68" s="111"/>
      <c r="Y68" s="111"/>
      <c r="Z68" s="111"/>
      <c r="AA68" s="111"/>
    </row>
    <row r="69" spans="2:27" x14ac:dyDescent="0.2">
      <c r="U69" s="111"/>
      <c r="V69" s="111"/>
      <c r="W69" s="111"/>
      <c r="X69" s="111"/>
      <c r="Y69" s="111"/>
      <c r="Z69" s="111"/>
      <c r="AA69" s="111"/>
    </row>
    <row r="70" spans="2:27" x14ac:dyDescent="0.2">
      <c r="U70" s="111"/>
      <c r="V70" s="111"/>
      <c r="W70" s="111"/>
      <c r="X70" s="111"/>
      <c r="Y70" s="111"/>
      <c r="Z70" s="111"/>
      <c r="AA70" s="111"/>
    </row>
    <row r="71" spans="2:27" x14ac:dyDescent="0.2">
      <c r="U71" s="111"/>
      <c r="V71" s="111"/>
      <c r="W71" s="111"/>
      <c r="X71" s="111"/>
      <c r="Y71" s="111"/>
      <c r="Z71" s="111"/>
      <c r="AA71" s="111"/>
    </row>
    <row r="73" spans="2:27" x14ac:dyDescent="0.2">
      <c r="U73" s="87"/>
      <c r="V73" s="87"/>
      <c r="W73" s="87"/>
      <c r="X73" s="87"/>
      <c r="Y73" s="87"/>
      <c r="Z73" s="87"/>
      <c r="AA73" s="87"/>
    </row>
    <row r="74" spans="2:27" x14ac:dyDescent="0.2">
      <c r="U74" s="87"/>
      <c r="V74" s="87"/>
      <c r="W74" s="87"/>
      <c r="X74" s="87"/>
      <c r="Y74" s="87"/>
      <c r="Z74" s="87"/>
      <c r="AA74" s="87"/>
    </row>
    <row r="75" spans="2:27" x14ac:dyDescent="0.2">
      <c r="U75" s="87"/>
      <c r="V75" s="87"/>
      <c r="W75" s="87"/>
      <c r="X75" s="87"/>
      <c r="Y75" s="87"/>
      <c r="Z75" s="87"/>
      <c r="AA75" s="87"/>
    </row>
    <row r="76" spans="2:27" x14ac:dyDescent="0.2">
      <c r="U76" s="87"/>
      <c r="V76" s="87"/>
      <c r="W76" s="87"/>
      <c r="X76" s="87"/>
      <c r="Y76" s="87"/>
      <c r="Z76" s="87"/>
      <c r="AA76" s="87"/>
    </row>
    <row r="83" spans="21:27" x14ac:dyDescent="0.2">
      <c r="U83" s="111"/>
      <c r="V83" s="111"/>
      <c r="W83" s="111"/>
      <c r="X83" s="111"/>
      <c r="Y83" s="111"/>
      <c r="Z83" s="111"/>
      <c r="AA83" s="111"/>
    </row>
    <row r="84" spans="21:27" x14ac:dyDescent="0.2">
      <c r="U84" s="111"/>
      <c r="V84" s="111"/>
      <c r="W84" s="111"/>
      <c r="X84" s="111"/>
      <c r="Y84" s="111"/>
      <c r="Z84" s="111"/>
      <c r="AA84" s="111"/>
    </row>
    <row r="85" spans="21:27" x14ac:dyDescent="0.2">
      <c r="U85" s="111"/>
      <c r="V85" s="111"/>
      <c r="W85" s="111"/>
      <c r="X85" s="111"/>
      <c r="Y85" s="111"/>
      <c r="Z85" s="111"/>
      <c r="AA85" s="111"/>
    </row>
    <row r="86" spans="21:27" x14ac:dyDescent="0.2">
      <c r="U86" s="111"/>
      <c r="V86" s="111"/>
      <c r="W86" s="111"/>
      <c r="X86" s="111"/>
      <c r="Y86" s="111"/>
      <c r="Z86" s="111"/>
      <c r="AA86" s="111"/>
    </row>
    <row r="87" spans="21:27" x14ac:dyDescent="0.2">
      <c r="U87" s="111"/>
      <c r="V87" s="111"/>
      <c r="W87" s="111"/>
      <c r="X87" s="111"/>
      <c r="Y87" s="111"/>
      <c r="Z87" s="111"/>
      <c r="AA87" s="111"/>
    </row>
    <row r="88" spans="21:27" x14ac:dyDescent="0.2">
      <c r="U88" s="111"/>
      <c r="V88" s="111"/>
      <c r="W88" s="111"/>
      <c r="X88" s="111"/>
      <c r="Y88" s="111"/>
      <c r="Z88" s="111"/>
      <c r="AA88" s="111"/>
    </row>
    <row r="91" spans="21:27" x14ac:dyDescent="0.2">
      <c r="U91" s="87"/>
      <c r="V91" s="87"/>
      <c r="W91" s="87"/>
      <c r="X91" s="87"/>
      <c r="Y91" s="87"/>
      <c r="Z91" s="87"/>
      <c r="AA91" s="87"/>
    </row>
    <row r="92" spans="21:27" x14ac:dyDescent="0.2">
      <c r="U92" s="87"/>
      <c r="V92" s="87"/>
      <c r="W92" s="87"/>
      <c r="X92" s="87"/>
      <c r="Y92" s="87"/>
      <c r="Z92" s="87"/>
      <c r="AA92" s="87"/>
    </row>
    <row r="93" spans="21:27" x14ac:dyDescent="0.2">
      <c r="U93" s="87"/>
      <c r="V93" s="87"/>
      <c r="W93" s="87"/>
      <c r="X93" s="87"/>
      <c r="Y93" s="87"/>
      <c r="Z93" s="87"/>
      <c r="AA93" s="87"/>
    </row>
    <row r="94" spans="21:27" x14ac:dyDescent="0.2">
      <c r="U94" s="87"/>
      <c r="V94" s="87"/>
      <c r="W94" s="87"/>
      <c r="X94" s="87"/>
      <c r="Y94" s="87"/>
      <c r="Z94" s="87"/>
      <c r="AA94" s="87"/>
    </row>
    <row r="95" spans="21:27" x14ac:dyDescent="0.2">
      <c r="U95" s="87"/>
      <c r="V95" s="87"/>
      <c r="W95" s="87"/>
      <c r="X95" s="87"/>
      <c r="Y95" s="87"/>
      <c r="Z95" s="87"/>
      <c r="AA95" s="87"/>
    </row>
  </sheetData>
  <sortState ref="T83:AA87">
    <sortCondition descending="1" ref="AA62:AA66"/>
  </sortState>
  <mergeCells count="2">
    <mergeCell ref="C8:L8"/>
    <mergeCell ref="B67:H6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2</xdr:col>
                <xdr:colOff>28575</xdr:colOff>
                <xdr:row>3</xdr:row>
                <xdr:rowOff>161925</xdr:rowOff>
              </to>
            </anchor>
          </objectPr>
        </oleObject>
      </mc:Choice>
      <mc:Fallback>
        <oleObject progId="MSPhotoEd.3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7:H52"/>
  <sheetViews>
    <sheetView showOutlineSymbols="0" zoomScaleNormal="100" zoomScaleSheetLayoutView="100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C4" sqref="C4"/>
    </sheetView>
  </sheetViews>
  <sheetFormatPr defaultRowHeight="12.75" x14ac:dyDescent="0.2"/>
  <cols>
    <col min="1" max="1" width="9.140625" style="4" customWidth="1"/>
    <col min="2" max="2" width="8.85546875" style="4" customWidth="1"/>
    <col min="3" max="3" width="9.42578125" style="4" customWidth="1"/>
    <col min="4" max="4" width="14.85546875" style="4" customWidth="1"/>
    <col min="5" max="5" width="12.42578125" style="4" customWidth="1"/>
    <col min="6" max="6" width="13.85546875" style="4" customWidth="1"/>
    <col min="7" max="7" width="15" style="3" customWidth="1"/>
    <col min="8" max="8" width="17.28515625" style="4" customWidth="1"/>
    <col min="9" max="16384" width="9.140625" style="4"/>
  </cols>
  <sheetData>
    <row r="7" spans="3:8" ht="15.75" customHeight="1" x14ac:dyDescent="0.25">
      <c r="C7" s="121"/>
      <c r="D7" s="181" t="s">
        <v>103</v>
      </c>
      <c r="E7" s="181"/>
      <c r="F7" s="181"/>
      <c r="G7" s="181"/>
      <c r="H7" s="122"/>
    </row>
    <row r="8" spans="3:8" x14ac:dyDescent="0.2">
      <c r="C8" s="123"/>
      <c r="D8" s="124"/>
      <c r="E8" s="124"/>
      <c r="F8" s="124"/>
      <c r="G8" s="124"/>
      <c r="H8" s="3"/>
    </row>
    <row r="9" spans="3:8" x14ac:dyDescent="0.2">
      <c r="C9" s="123"/>
      <c r="D9" s="125"/>
      <c r="E9" s="126"/>
      <c r="F9" s="126"/>
      <c r="G9" s="127"/>
      <c r="H9" s="3"/>
    </row>
    <row r="10" spans="3:8" ht="13.35" customHeight="1" x14ac:dyDescent="0.2">
      <c r="C10" s="123"/>
      <c r="D10" s="128"/>
      <c r="E10" s="129"/>
      <c r="F10" s="129"/>
      <c r="G10" s="130" t="s">
        <v>81</v>
      </c>
      <c r="H10" s="3"/>
    </row>
    <row r="11" spans="3:8" ht="24" customHeight="1" x14ac:dyDescent="0.2">
      <c r="C11" s="128"/>
      <c r="D11" s="131" t="s">
        <v>5</v>
      </c>
      <c r="E11" s="131" t="s">
        <v>101</v>
      </c>
      <c r="F11" s="131" t="s">
        <v>102</v>
      </c>
      <c r="G11" s="132" t="s">
        <v>34</v>
      </c>
      <c r="H11" s="133"/>
    </row>
    <row r="12" spans="3:8" x14ac:dyDescent="0.2">
      <c r="C12" s="134"/>
      <c r="D12" s="134"/>
      <c r="E12" s="135"/>
      <c r="F12" s="135"/>
      <c r="G12" s="135"/>
      <c r="H12" s="3"/>
    </row>
    <row r="13" spans="3:8" ht="12.75" hidden="1" customHeight="1" x14ac:dyDescent="0.2">
      <c r="C13" s="134"/>
      <c r="D13" s="136">
        <v>1991</v>
      </c>
      <c r="E13" s="137">
        <v>1599</v>
      </c>
      <c r="F13" s="137" t="e">
        <f>#REF!*1+#REF!*2+#REF!*3+#REF!*4</f>
        <v>#REF!</v>
      </c>
      <c r="G13" s="137" t="e">
        <f>#REF!+#REF!</f>
        <v>#REF!</v>
      </c>
      <c r="H13" s="3"/>
    </row>
    <row r="14" spans="3:8" x14ac:dyDescent="0.2">
      <c r="C14" s="138"/>
      <c r="D14" s="139">
        <v>2000</v>
      </c>
      <c r="E14" s="140">
        <f>150+2634+63</f>
        <v>2847</v>
      </c>
      <c r="F14" s="140">
        <f>59+53+2101+272+50+17</f>
        <v>2552</v>
      </c>
      <c r="G14" s="141">
        <f>SUM(E14:F14)</f>
        <v>5399</v>
      </c>
      <c r="H14" s="126"/>
    </row>
    <row r="15" spans="3:8" x14ac:dyDescent="0.2">
      <c r="C15" s="138"/>
      <c r="D15" s="139">
        <v>2001</v>
      </c>
      <c r="E15" s="140">
        <f>145+2592+75</f>
        <v>2812</v>
      </c>
      <c r="F15" s="140">
        <f>61+58+2102+311+39+26</f>
        <v>2597</v>
      </c>
      <c r="G15" s="141">
        <f t="shared" ref="G15:G25" si="0">SUM(E15:F15)</f>
        <v>5409</v>
      </c>
      <c r="H15" s="142"/>
    </row>
    <row r="16" spans="3:8" x14ac:dyDescent="0.2">
      <c r="C16" s="138"/>
      <c r="D16" s="139">
        <v>2002</v>
      </c>
      <c r="E16" s="140">
        <f>144+2493+75</f>
        <v>2712</v>
      </c>
      <c r="F16" s="140">
        <f>67+56+2084+285+57+12</f>
        <v>2561</v>
      </c>
      <c r="G16" s="141">
        <f t="shared" si="0"/>
        <v>5273</v>
      </c>
      <c r="H16" s="142"/>
    </row>
    <row r="17" spans="2:8" x14ac:dyDescent="0.2">
      <c r="C17" s="138"/>
      <c r="D17" s="139">
        <v>2003</v>
      </c>
      <c r="E17" s="140">
        <f>132+2599+75</f>
        <v>2806</v>
      </c>
      <c r="F17" s="140">
        <f>118+62+2135+346+58+12</f>
        <v>2731</v>
      </c>
      <c r="G17" s="141">
        <f t="shared" si="0"/>
        <v>5537</v>
      </c>
      <c r="H17" s="142"/>
    </row>
    <row r="18" spans="2:8" x14ac:dyDescent="0.2">
      <c r="C18" s="138"/>
      <c r="D18" s="139">
        <v>2004</v>
      </c>
      <c r="E18" s="143" t="s">
        <v>82</v>
      </c>
      <c r="F18" s="143" t="s">
        <v>82</v>
      </c>
      <c r="G18" s="143" t="s">
        <v>82</v>
      </c>
      <c r="H18" s="142"/>
    </row>
    <row r="19" spans="2:8" x14ac:dyDescent="0.2">
      <c r="C19" s="138"/>
      <c r="D19" s="139">
        <v>2005</v>
      </c>
      <c r="E19" s="143" t="s">
        <v>82</v>
      </c>
      <c r="F19" s="143" t="s">
        <v>82</v>
      </c>
      <c r="G19" s="143" t="s">
        <v>82</v>
      </c>
      <c r="H19" s="142"/>
    </row>
    <row r="20" spans="2:8" x14ac:dyDescent="0.2">
      <c r="C20" s="138"/>
      <c r="D20" s="139">
        <v>2006</v>
      </c>
      <c r="E20" s="140">
        <f>63+2122+76</f>
        <v>2261</v>
      </c>
      <c r="F20" s="140">
        <f>64+61+1767+289+25+16</f>
        <v>2222</v>
      </c>
      <c r="G20" s="141">
        <f t="shared" si="0"/>
        <v>4483</v>
      </c>
      <c r="H20" s="142"/>
    </row>
    <row r="21" spans="2:8" x14ac:dyDescent="0.2">
      <c r="C21" s="138"/>
      <c r="D21" s="139">
        <v>2007</v>
      </c>
      <c r="E21" s="144">
        <f>62+1783+11</f>
        <v>1856</v>
      </c>
      <c r="F21" s="144">
        <f>67+62+1478+307+38+15</f>
        <v>1967</v>
      </c>
      <c r="G21" s="141">
        <f t="shared" si="0"/>
        <v>3823</v>
      </c>
      <c r="H21" s="142"/>
    </row>
    <row r="22" spans="2:8" x14ac:dyDescent="0.2">
      <c r="C22" s="138"/>
      <c r="D22" s="139">
        <v>2008</v>
      </c>
      <c r="E22" s="144">
        <f>59+1883+76</f>
        <v>2018</v>
      </c>
      <c r="F22" s="144">
        <f>60+63+1955+366+42+21</f>
        <v>2507</v>
      </c>
      <c r="G22" s="141">
        <f t="shared" si="0"/>
        <v>4525</v>
      </c>
      <c r="H22" s="142"/>
    </row>
    <row r="23" spans="2:8" x14ac:dyDescent="0.2">
      <c r="C23" s="138"/>
      <c r="D23" s="139">
        <v>2009</v>
      </c>
      <c r="E23" s="144">
        <f>85+1870+76</f>
        <v>2031</v>
      </c>
      <c r="F23" s="144">
        <f>48+68+2001+355+45+15</f>
        <v>2532</v>
      </c>
      <c r="G23" s="141">
        <f t="shared" si="0"/>
        <v>4563</v>
      </c>
      <c r="H23" s="142"/>
    </row>
    <row r="24" spans="2:8" x14ac:dyDescent="0.2">
      <c r="C24" s="134"/>
      <c r="D24" s="139">
        <v>2010</v>
      </c>
      <c r="E24" s="144">
        <f>85+1870+76</f>
        <v>2031</v>
      </c>
      <c r="F24" s="144">
        <f>52+70+2019+390+45+16</f>
        <v>2592</v>
      </c>
      <c r="G24" s="141">
        <f t="shared" si="0"/>
        <v>4623</v>
      </c>
      <c r="H24" s="3"/>
    </row>
    <row r="25" spans="2:8" x14ac:dyDescent="0.2">
      <c r="C25" s="134"/>
      <c r="D25" s="139">
        <v>2011</v>
      </c>
      <c r="E25" s="144">
        <f>85+1968+77</f>
        <v>2130</v>
      </c>
      <c r="F25" s="144">
        <f>60+70+2209+444+40+21</f>
        <v>2844</v>
      </c>
      <c r="G25" s="141">
        <f t="shared" si="0"/>
        <v>4974</v>
      </c>
      <c r="H25" s="3"/>
    </row>
    <row r="26" spans="2:8" x14ac:dyDescent="0.2">
      <c r="C26" s="134"/>
      <c r="D26" s="139">
        <v>2012</v>
      </c>
      <c r="E26" s="144">
        <f>85+1968+87</f>
        <v>2140</v>
      </c>
      <c r="F26" s="144">
        <f>72+95+2180+382+32+22</f>
        <v>2783</v>
      </c>
      <c r="G26" s="141">
        <f>SUM(E26:F26)</f>
        <v>4923</v>
      </c>
      <c r="H26" s="3"/>
    </row>
    <row r="27" spans="2:8" x14ac:dyDescent="0.2">
      <c r="C27" s="134"/>
      <c r="D27" s="139">
        <v>2013</v>
      </c>
      <c r="E27" s="144">
        <v>2140</v>
      </c>
      <c r="F27" s="144">
        <v>2819</v>
      </c>
      <c r="G27" s="141">
        <f>SUM(E27:F27)</f>
        <v>4959</v>
      </c>
      <c r="H27" s="3"/>
    </row>
    <row r="28" spans="2:8" x14ac:dyDescent="0.2">
      <c r="C28" s="134"/>
      <c r="D28" s="139" t="s">
        <v>83</v>
      </c>
      <c r="E28" s="145">
        <v>2143</v>
      </c>
      <c r="F28" s="145">
        <f>2485+628+8</f>
        <v>3121</v>
      </c>
      <c r="G28" s="141">
        <f>SUM(E28:F28)</f>
        <v>5264</v>
      </c>
      <c r="H28" s="3"/>
    </row>
    <row r="29" spans="2:8" x14ac:dyDescent="0.2">
      <c r="B29" s="134"/>
      <c r="C29" s="146"/>
      <c r="D29" s="139" t="s">
        <v>99</v>
      </c>
      <c r="E29" s="145">
        <v>2165</v>
      </c>
      <c r="F29" s="145">
        <f>2470+641+8</f>
        <v>3119</v>
      </c>
      <c r="G29" s="141">
        <f>SUM(E29:F29)</f>
        <v>5284</v>
      </c>
    </row>
    <row r="30" spans="2:8" x14ac:dyDescent="0.2">
      <c r="B30" s="134"/>
      <c r="C30" s="146"/>
      <c r="D30" s="147" t="s">
        <v>104</v>
      </c>
      <c r="E30" s="148">
        <v>2446</v>
      </c>
      <c r="F30" s="148">
        <f>2625+834</f>
        <v>3459</v>
      </c>
      <c r="G30" s="149">
        <f>SUM(E30:F30)</f>
        <v>5905</v>
      </c>
    </row>
    <row r="31" spans="2:8" x14ac:dyDescent="0.2">
      <c r="B31" s="134"/>
      <c r="C31" s="150" t="s">
        <v>84</v>
      </c>
      <c r="D31" s="128"/>
      <c r="E31" s="128"/>
      <c r="F31" s="135"/>
    </row>
    <row r="32" spans="2:8" ht="14.25" x14ac:dyDescent="0.2">
      <c r="B32" s="151"/>
      <c r="C32" s="123" t="s">
        <v>85</v>
      </c>
      <c r="D32" s="123"/>
      <c r="E32" s="123"/>
      <c r="F32" s="134"/>
    </row>
    <row r="33" spans="2:7" ht="14.25" x14ac:dyDescent="0.2">
      <c r="B33" s="151"/>
      <c r="C33" s="114" t="s">
        <v>105</v>
      </c>
      <c r="E33" s="123"/>
      <c r="F33" s="134"/>
    </row>
    <row r="34" spans="2:7" ht="14.25" x14ac:dyDescent="0.2">
      <c r="B34" s="152"/>
    </row>
    <row r="35" spans="2:7" ht="27" customHeight="1" x14ac:dyDescent="0.2">
      <c r="B35" s="153"/>
      <c r="C35" s="182" t="s">
        <v>86</v>
      </c>
      <c r="D35" s="182"/>
      <c r="E35" s="182"/>
      <c r="F35" s="182"/>
      <c r="G35" s="182"/>
    </row>
    <row r="36" spans="2:7" ht="14.25" x14ac:dyDescent="0.2">
      <c r="B36" s="82"/>
    </row>
    <row r="37" spans="2:7" x14ac:dyDescent="0.2">
      <c r="C37" s="154" t="s">
        <v>87</v>
      </c>
    </row>
    <row r="50" spans="2:8" x14ac:dyDescent="0.2">
      <c r="B50" s="86"/>
      <c r="C50" s="86"/>
      <c r="D50" s="86"/>
      <c r="E50" s="86"/>
      <c r="F50" s="86"/>
      <c r="G50" s="155"/>
    </row>
    <row r="51" spans="2:8" ht="9" customHeight="1" x14ac:dyDescent="0.2">
      <c r="B51" s="86"/>
      <c r="C51" s="86"/>
      <c r="D51" s="86"/>
      <c r="E51" s="86"/>
      <c r="F51" s="86"/>
      <c r="G51" s="155"/>
    </row>
    <row r="52" spans="2:8" x14ac:dyDescent="0.2">
      <c r="B52" s="180"/>
      <c r="C52" s="180"/>
      <c r="D52" s="180"/>
      <c r="E52" s="180"/>
      <c r="F52" s="180"/>
      <c r="G52" s="180"/>
      <c r="H52" s="156"/>
    </row>
  </sheetData>
  <mergeCells count="3">
    <mergeCell ref="D7:G7"/>
    <mergeCell ref="C35:G35"/>
    <mergeCell ref="B52:G52"/>
  </mergeCells>
  <printOptions horizontalCentered="1"/>
  <pageMargins left="1" right="1" top="0.94" bottom="0.83" header="0.5" footer="0.49"/>
  <pageSetup scale="65" orientation="portrait" horizontalDpi="300" verticalDpi="300" r:id="rId1"/>
  <headerFooter alignWithMargins="0"/>
  <colBreaks count="1" manualBreakCount="1">
    <brk id="11" max="408" man="1"/>
  </colBreaks>
  <ignoredErrors>
    <ignoredError sqref="G27" formulaRange="1"/>
  </ignoredErrors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552450</xdr:colOff>
                <xdr:row>3</xdr:row>
                <xdr:rowOff>114300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O61"/>
  <sheetViews>
    <sheetView zoomScaleNormal="100" zoomScaleSheetLayoutView="100" workbookViewId="0">
      <selection activeCell="C44" sqref="C44"/>
    </sheetView>
  </sheetViews>
  <sheetFormatPr defaultRowHeight="12.75" x14ac:dyDescent="0.2"/>
  <cols>
    <col min="1" max="1" width="9.140625" style="4" customWidth="1"/>
    <col min="2" max="2" width="9.5703125" style="4" customWidth="1"/>
    <col min="3" max="3" width="32.5703125" style="4" customWidth="1"/>
    <col min="4" max="10" width="13.42578125" style="4" customWidth="1"/>
    <col min="11" max="11" width="12.28515625" style="4" customWidth="1"/>
    <col min="12" max="17" width="9.140625" style="4"/>
    <col min="18" max="18" width="11" style="4" bestFit="1" customWidth="1"/>
    <col min="19" max="16384" width="9.140625" style="4"/>
  </cols>
  <sheetData>
    <row r="4" spans="2:15" ht="9" customHeight="1" x14ac:dyDescent="0.2"/>
    <row r="7" spans="2:15" ht="15.75" x14ac:dyDescent="0.25">
      <c r="B7" s="13"/>
      <c r="C7" s="179" t="s">
        <v>111</v>
      </c>
      <c r="D7" s="179"/>
      <c r="E7" s="179"/>
      <c r="F7" s="179"/>
      <c r="G7" s="179"/>
      <c r="H7" s="179"/>
      <c r="I7" s="179"/>
      <c r="J7" s="179"/>
    </row>
    <row r="9" spans="2:15" ht="12.75" customHeight="1" x14ac:dyDescent="0.2"/>
    <row r="10" spans="2:15" x14ac:dyDescent="0.2">
      <c r="C10" s="109"/>
      <c r="D10" s="18">
        <v>2005</v>
      </c>
      <c r="E10" s="18">
        <v>2006</v>
      </c>
      <c r="F10" s="18">
        <v>2007</v>
      </c>
      <c r="G10" s="19">
        <v>2008</v>
      </c>
      <c r="H10" s="19">
        <v>2009</v>
      </c>
      <c r="I10" s="19">
        <v>2010</v>
      </c>
      <c r="J10" s="19">
        <v>2011</v>
      </c>
      <c r="K10" s="19">
        <v>2012</v>
      </c>
      <c r="L10" s="19">
        <v>2013</v>
      </c>
      <c r="M10" s="19">
        <v>2014</v>
      </c>
      <c r="N10" s="19">
        <v>2015</v>
      </c>
      <c r="O10" s="19">
        <v>2016</v>
      </c>
    </row>
    <row r="13" spans="2:15" ht="15.75" x14ac:dyDescent="0.25">
      <c r="C13" s="157" t="s">
        <v>88</v>
      </c>
      <c r="D13" s="56"/>
      <c r="E13" s="56"/>
      <c r="F13" s="56"/>
    </row>
    <row r="14" spans="2:15" ht="15" customHeight="1" x14ac:dyDescent="0.2">
      <c r="C14" s="4" t="s">
        <v>89</v>
      </c>
      <c r="D14" s="56">
        <v>7.59</v>
      </c>
      <c r="E14" s="56">
        <v>6.62</v>
      </c>
      <c r="F14" s="56">
        <v>6.6</v>
      </c>
      <c r="G14" s="56">
        <v>6.41</v>
      </c>
      <c r="H14" s="56">
        <v>6.9</v>
      </c>
      <c r="I14" s="56">
        <v>6.1</v>
      </c>
      <c r="J14" s="56">
        <v>4.8</v>
      </c>
      <c r="K14" s="56">
        <v>4.9000000000000004</v>
      </c>
      <c r="L14" s="71" t="s">
        <v>82</v>
      </c>
      <c r="M14" s="71" t="s">
        <v>82</v>
      </c>
      <c r="N14" s="71" t="s">
        <v>82</v>
      </c>
      <c r="O14" s="158">
        <v>6.27</v>
      </c>
    </row>
    <row r="15" spans="2:15" x14ac:dyDescent="0.2">
      <c r="D15" s="56"/>
      <c r="E15" s="56"/>
      <c r="F15" s="56"/>
      <c r="G15" s="56"/>
      <c r="H15" s="56"/>
      <c r="I15" s="56"/>
      <c r="J15" s="56"/>
      <c r="K15" s="56"/>
      <c r="L15" s="71" t="s">
        <v>82</v>
      </c>
      <c r="M15" s="71" t="s">
        <v>82</v>
      </c>
      <c r="N15" s="71" t="s">
        <v>82</v>
      </c>
      <c r="O15" s="158"/>
    </row>
    <row r="16" spans="2:15" x14ac:dyDescent="0.2">
      <c r="C16" s="4" t="s">
        <v>90</v>
      </c>
      <c r="D16" s="71">
        <v>2.12</v>
      </c>
      <c r="E16" s="56">
        <v>2.2999999999999998</v>
      </c>
      <c r="F16" s="56">
        <v>2.2599999999999998</v>
      </c>
      <c r="G16" s="56">
        <v>2.12</v>
      </c>
      <c r="H16" s="56">
        <v>2.2999999999999998</v>
      </c>
      <c r="I16" s="56">
        <v>2.2999999999999998</v>
      </c>
      <c r="J16" s="56">
        <v>2.2000000000000002</v>
      </c>
      <c r="K16" s="56">
        <v>2.2000000000000002</v>
      </c>
      <c r="L16" s="71" t="s">
        <v>82</v>
      </c>
      <c r="M16" s="71" t="s">
        <v>82</v>
      </c>
      <c r="N16" s="71" t="s">
        <v>82</v>
      </c>
      <c r="O16" s="158">
        <v>2.39</v>
      </c>
    </row>
    <row r="17" spans="3:15" x14ac:dyDescent="0.2">
      <c r="L17" s="71" t="s">
        <v>82</v>
      </c>
      <c r="M17" s="71" t="s">
        <v>82</v>
      </c>
      <c r="N17" s="71" t="s">
        <v>82</v>
      </c>
    </row>
    <row r="18" spans="3:15" x14ac:dyDescent="0.2">
      <c r="C18" s="4" t="s">
        <v>91</v>
      </c>
      <c r="D18" s="159">
        <v>115</v>
      </c>
      <c r="E18" s="159">
        <v>162</v>
      </c>
      <c r="F18" s="159">
        <v>164</v>
      </c>
      <c r="G18" s="159">
        <v>164</v>
      </c>
      <c r="H18" s="160">
        <v>139</v>
      </c>
      <c r="I18" s="160">
        <v>129</v>
      </c>
      <c r="J18" s="160">
        <v>194</v>
      </c>
      <c r="K18" s="160">
        <v>241</v>
      </c>
      <c r="L18" s="71" t="s">
        <v>82</v>
      </c>
      <c r="M18" s="71" t="s">
        <v>82</v>
      </c>
      <c r="N18" s="71" t="s">
        <v>82</v>
      </c>
      <c r="O18" s="158">
        <v>178.14</v>
      </c>
    </row>
    <row r="19" spans="3:15" x14ac:dyDescent="0.2">
      <c r="D19" s="123"/>
      <c r="E19" s="123"/>
      <c r="F19" s="123"/>
      <c r="G19" s="123"/>
      <c r="L19" s="71" t="s">
        <v>82</v>
      </c>
      <c r="M19" s="71" t="s">
        <v>82</v>
      </c>
      <c r="N19" s="71" t="s">
        <v>82</v>
      </c>
    </row>
    <row r="20" spans="3:15" s="161" customFormat="1" x14ac:dyDescent="0.2">
      <c r="C20" s="161" t="s">
        <v>92</v>
      </c>
      <c r="D20" s="162">
        <v>147</v>
      </c>
      <c r="E20" s="162">
        <v>286</v>
      </c>
      <c r="F20" s="162">
        <v>316</v>
      </c>
      <c r="G20" s="162">
        <v>318</v>
      </c>
      <c r="H20" s="163">
        <v>262</v>
      </c>
      <c r="I20" s="163">
        <v>225</v>
      </c>
      <c r="J20" s="163">
        <v>287</v>
      </c>
      <c r="K20" s="163">
        <v>381</v>
      </c>
      <c r="L20" s="71" t="s">
        <v>82</v>
      </c>
      <c r="M20" s="71" t="s">
        <v>82</v>
      </c>
      <c r="N20" s="71" t="s">
        <v>82</v>
      </c>
      <c r="O20" s="164">
        <v>430.5</v>
      </c>
    </row>
    <row r="21" spans="3:15" x14ac:dyDescent="0.2">
      <c r="D21" s="165"/>
      <c r="E21" s="165"/>
      <c r="F21" s="165"/>
      <c r="L21" s="71"/>
      <c r="M21" s="71"/>
      <c r="N21" s="71"/>
    </row>
    <row r="22" spans="3:15" x14ac:dyDescent="0.2">
      <c r="L22" s="71"/>
      <c r="M22" s="71"/>
      <c r="N22" s="71"/>
    </row>
    <row r="23" spans="3:15" ht="12" customHeight="1" x14ac:dyDescent="0.2">
      <c r="L23" s="71"/>
      <c r="M23" s="71"/>
      <c r="N23" s="71"/>
    </row>
    <row r="24" spans="3:15" ht="15.75" x14ac:dyDescent="0.25">
      <c r="C24" s="157" t="s">
        <v>106</v>
      </c>
      <c r="L24" s="71"/>
      <c r="M24" s="71"/>
      <c r="N24" s="71"/>
    </row>
    <row r="25" spans="3:15" ht="15" customHeight="1" x14ac:dyDescent="0.2">
      <c r="C25" s="4" t="s">
        <v>93</v>
      </c>
      <c r="D25" s="166">
        <v>93</v>
      </c>
      <c r="E25" s="160">
        <f>96.94/1.2</f>
        <v>80.783333333333331</v>
      </c>
      <c r="F25" s="160">
        <f>63.7/1.2</f>
        <v>53.083333333333336</v>
      </c>
      <c r="G25" s="160">
        <f>101.13/1.2</f>
        <v>84.275000000000006</v>
      </c>
      <c r="H25" s="160">
        <v>137</v>
      </c>
      <c r="I25" s="160">
        <v>68</v>
      </c>
      <c r="J25" s="160">
        <v>67</v>
      </c>
      <c r="K25" s="160">
        <v>84</v>
      </c>
      <c r="L25" s="71" t="s">
        <v>82</v>
      </c>
      <c r="M25" s="71" t="s">
        <v>82</v>
      </c>
      <c r="N25" s="71" t="s">
        <v>82</v>
      </c>
      <c r="O25" s="158">
        <v>97.33</v>
      </c>
    </row>
    <row r="26" spans="3:15" x14ac:dyDescent="0.2">
      <c r="D26" s="59"/>
      <c r="L26" s="71" t="s">
        <v>82</v>
      </c>
      <c r="M26" s="71" t="s">
        <v>82</v>
      </c>
      <c r="N26" s="71" t="s">
        <v>82</v>
      </c>
    </row>
    <row r="27" spans="3:15" x14ac:dyDescent="0.2">
      <c r="C27" s="4" t="s">
        <v>94</v>
      </c>
      <c r="D27" s="167">
        <v>1798.999</v>
      </c>
      <c r="E27" s="111">
        <v>1930.136</v>
      </c>
      <c r="F27" s="111">
        <v>1715.6659999999999</v>
      </c>
      <c r="G27" s="111">
        <v>1553.0530000000001</v>
      </c>
      <c r="H27" s="111">
        <v>1520</v>
      </c>
      <c r="I27" s="111">
        <v>1598</v>
      </c>
      <c r="J27" s="111">
        <v>1401</v>
      </c>
      <c r="K27" s="111">
        <v>1507</v>
      </c>
      <c r="L27" s="71" t="s">
        <v>82</v>
      </c>
      <c r="M27" s="71" t="s">
        <v>82</v>
      </c>
      <c r="N27" s="71" t="s">
        <v>82</v>
      </c>
      <c r="O27" s="111">
        <v>1711.8</v>
      </c>
    </row>
    <row r="28" spans="3:15" x14ac:dyDescent="0.2">
      <c r="D28" s="167"/>
      <c r="E28" s="111"/>
      <c r="F28" s="111"/>
      <c r="G28" s="111"/>
      <c r="H28" s="111"/>
      <c r="I28" s="111"/>
      <c r="J28" s="111"/>
      <c r="K28" s="111"/>
      <c r="L28" s="71" t="s">
        <v>82</v>
      </c>
      <c r="M28" s="71" t="s">
        <v>82</v>
      </c>
      <c r="N28" s="71" t="s">
        <v>82</v>
      </c>
      <c r="O28" s="111"/>
    </row>
    <row r="29" spans="3:15" x14ac:dyDescent="0.2">
      <c r="C29" s="4" t="s">
        <v>95</v>
      </c>
      <c r="D29" s="167">
        <v>1619.0989999999999</v>
      </c>
      <c r="E29" s="167">
        <v>1737.1220000000001</v>
      </c>
      <c r="F29" s="167">
        <v>1544.0989999999999</v>
      </c>
      <c r="G29" s="167">
        <v>1397.748</v>
      </c>
      <c r="H29" s="167">
        <v>1368</v>
      </c>
      <c r="I29" s="167">
        <v>1438</v>
      </c>
      <c r="J29" s="167">
        <v>1261</v>
      </c>
      <c r="K29" s="167">
        <v>1357</v>
      </c>
      <c r="L29" s="71" t="s">
        <v>82</v>
      </c>
      <c r="M29" s="71" t="s">
        <v>82</v>
      </c>
      <c r="N29" s="71" t="s">
        <v>82</v>
      </c>
      <c r="O29" s="167">
        <v>1541</v>
      </c>
    </row>
    <row r="30" spans="3:15" x14ac:dyDescent="0.2">
      <c r="D30" s="59"/>
      <c r="L30" s="71" t="s">
        <v>82</v>
      </c>
      <c r="M30" s="71" t="s">
        <v>82</v>
      </c>
      <c r="N30" s="71" t="s">
        <v>82</v>
      </c>
    </row>
    <row r="31" spans="3:15" s="161" customFormat="1" x14ac:dyDescent="0.2">
      <c r="C31" s="161" t="s">
        <v>96</v>
      </c>
      <c r="D31" s="163">
        <v>150</v>
      </c>
      <c r="E31" s="163">
        <v>141</v>
      </c>
      <c r="F31" s="163">
        <v>83</v>
      </c>
      <c r="G31" s="163">
        <v>119</v>
      </c>
      <c r="H31" s="163">
        <v>187</v>
      </c>
      <c r="I31" s="163">
        <v>98</v>
      </c>
      <c r="J31" s="163">
        <v>85</v>
      </c>
      <c r="K31" s="163">
        <v>115</v>
      </c>
      <c r="L31" s="71" t="s">
        <v>82</v>
      </c>
      <c r="M31" s="71" t="s">
        <v>82</v>
      </c>
      <c r="N31" s="71" t="s">
        <v>82</v>
      </c>
      <c r="O31" s="164">
        <v>149.9</v>
      </c>
    </row>
    <row r="32" spans="3:15" x14ac:dyDescent="0.2">
      <c r="C32" s="37"/>
      <c r="D32" s="168"/>
      <c r="E32" s="168"/>
      <c r="F32" s="168"/>
      <c r="G32" s="168"/>
      <c r="H32" s="168"/>
      <c r="I32" s="168"/>
      <c r="J32" s="168"/>
      <c r="K32" s="168"/>
      <c r="L32" s="71"/>
      <c r="M32" s="71"/>
      <c r="N32" s="71"/>
      <c r="O32" s="168"/>
    </row>
    <row r="33" spans="2:15" ht="15.75" hidden="1" customHeight="1" x14ac:dyDescent="0.25">
      <c r="C33" s="169"/>
      <c r="D33" s="59"/>
      <c r="L33" s="71"/>
      <c r="M33" s="71"/>
      <c r="N33" s="71"/>
    </row>
    <row r="34" spans="2:15" ht="15.75" x14ac:dyDescent="0.25">
      <c r="C34" s="169"/>
      <c r="D34" s="59"/>
      <c r="L34" s="71"/>
      <c r="M34" s="71"/>
      <c r="N34" s="71"/>
    </row>
    <row r="35" spans="2:15" x14ac:dyDescent="0.2">
      <c r="C35" s="161" t="s">
        <v>97</v>
      </c>
      <c r="D35" s="163">
        <v>297</v>
      </c>
      <c r="E35" s="163">
        <f>E20+E31</f>
        <v>427</v>
      </c>
      <c r="F35" s="163">
        <f>SUM(F20+F31)</f>
        <v>399</v>
      </c>
      <c r="G35" s="163">
        <f>SUM(G20+G31)</f>
        <v>437</v>
      </c>
      <c r="H35" s="163">
        <f>SUM(H20+H31)</f>
        <v>449</v>
      </c>
      <c r="I35" s="163">
        <f>SUM(I20+I31)</f>
        <v>323</v>
      </c>
      <c r="J35" s="163">
        <f>SUM(J20+J31)</f>
        <v>372</v>
      </c>
      <c r="K35" s="163">
        <v>496</v>
      </c>
      <c r="L35" s="71" t="s">
        <v>82</v>
      </c>
      <c r="M35" s="71" t="s">
        <v>82</v>
      </c>
      <c r="N35" s="71" t="s">
        <v>82</v>
      </c>
      <c r="O35" s="164">
        <f>O31+O20</f>
        <v>580.4</v>
      </c>
    </row>
    <row r="36" spans="2:15" x14ac:dyDescent="0.2">
      <c r="B36" s="3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</row>
    <row r="37" spans="2:15" x14ac:dyDescent="0.2">
      <c r="B37" s="3"/>
      <c r="C37" s="3"/>
      <c r="D37" s="3"/>
      <c r="E37" s="3"/>
      <c r="F37" s="3"/>
      <c r="G37" s="3"/>
      <c r="H37" s="3"/>
      <c r="I37" s="3"/>
      <c r="J37" s="3"/>
    </row>
    <row r="38" spans="2:15" x14ac:dyDescent="0.2">
      <c r="B38" s="3"/>
      <c r="C38" s="208" t="s">
        <v>112</v>
      </c>
      <c r="D38" s="3"/>
      <c r="E38" s="3"/>
      <c r="F38" s="3"/>
      <c r="G38" s="3"/>
      <c r="H38" s="3"/>
      <c r="I38" s="3"/>
      <c r="J38" s="3"/>
    </row>
    <row r="39" spans="2:15" x14ac:dyDescent="0.2">
      <c r="C39" s="78" t="s">
        <v>98</v>
      </c>
    </row>
    <row r="40" spans="2:15" ht="14.25" x14ac:dyDescent="0.2">
      <c r="B40" s="153"/>
      <c r="C40" s="170"/>
    </row>
    <row r="41" spans="2:15" ht="14.25" x14ac:dyDescent="0.2">
      <c r="B41" s="153"/>
      <c r="C41" s="170"/>
    </row>
    <row r="42" spans="2:15" ht="14.25" x14ac:dyDescent="0.2">
      <c r="B42" s="153"/>
    </row>
    <row r="43" spans="2:15" ht="14.25" x14ac:dyDescent="0.2">
      <c r="B43" s="153"/>
    </row>
    <row r="44" spans="2:15" ht="14.25" x14ac:dyDescent="0.2">
      <c r="B44" s="153"/>
    </row>
    <row r="45" spans="2:15" ht="14.25" x14ac:dyDescent="0.2">
      <c r="B45" s="153"/>
    </row>
    <row r="46" spans="2:15" ht="14.25" x14ac:dyDescent="0.2">
      <c r="B46" s="153"/>
    </row>
    <row r="47" spans="2:15" ht="14.25" x14ac:dyDescent="0.2">
      <c r="B47" s="153"/>
    </row>
    <row r="48" spans="2:15" ht="14.25" x14ac:dyDescent="0.2">
      <c r="B48" s="153"/>
    </row>
    <row r="49" spans="2:7" ht="14.25" x14ac:dyDescent="0.2">
      <c r="B49" s="153"/>
    </row>
    <row r="50" spans="2:7" ht="14.25" x14ac:dyDescent="0.2">
      <c r="B50" s="153"/>
    </row>
    <row r="51" spans="2:7" ht="14.25" x14ac:dyDescent="0.2">
      <c r="B51" s="153"/>
    </row>
    <row r="52" spans="2:7" ht="14.25" x14ac:dyDescent="0.2">
      <c r="B52" s="153"/>
    </row>
    <row r="53" spans="2:7" ht="14.25" x14ac:dyDescent="0.2">
      <c r="B53" s="153"/>
    </row>
    <row r="54" spans="2:7" ht="14.25" x14ac:dyDescent="0.2">
      <c r="B54" s="153"/>
    </row>
    <row r="55" spans="2:7" ht="14.25" x14ac:dyDescent="0.2">
      <c r="B55" s="153"/>
    </row>
    <row r="56" spans="2:7" ht="14.25" x14ac:dyDescent="0.2">
      <c r="B56" s="153"/>
    </row>
    <row r="57" spans="2:7" ht="14.25" x14ac:dyDescent="0.2">
      <c r="B57" s="153"/>
    </row>
    <row r="58" spans="2:7" ht="14.25" x14ac:dyDescent="0.2">
      <c r="B58" s="153"/>
    </row>
    <row r="59" spans="2:7" x14ac:dyDescent="0.2">
      <c r="C59" s="86"/>
    </row>
    <row r="60" spans="2:7" ht="9" customHeight="1" x14ac:dyDescent="0.2"/>
    <row r="61" spans="2:7" x14ac:dyDescent="0.2">
      <c r="B61" s="180"/>
      <c r="C61" s="180"/>
      <c r="D61" s="180"/>
      <c r="E61" s="180"/>
      <c r="F61" s="180"/>
      <c r="G61" s="180"/>
    </row>
  </sheetData>
  <mergeCells count="2">
    <mergeCell ref="C7:J7"/>
    <mergeCell ref="B61:G61"/>
  </mergeCells>
  <printOptions horizontalCentered="1"/>
  <pageMargins left="0.75" right="0.75" top="1" bottom="1" header="0.5" footer="0.24"/>
  <pageSetup scale="40" orientation="portrait" horizontalDpi="300" verticalDpi="300" r:id="rId1"/>
  <headerFooter alignWithMargins="0"/>
  <colBreaks count="1" manualBreakCount="1">
    <brk id="21" max="71" man="1"/>
  </colBreaks>
  <drawing r:id="rId2"/>
  <legacyDrawing r:id="rId3"/>
  <oleObjects>
    <mc:AlternateContent xmlns:mc="http://schemas.openxmlformats.org/markup-compatibility/2006">
      <mc:Choice Requires="x14">
        <oleObject progId="MSPhotoEd.3" shapeId="7170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104775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MSPhotoEd.3" shapeId="717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.0</vt:lpstr>
      <vt:lpstr>.01</vt:lpstr>
      <vt:lpstr>.02</vt:lpstr>
      <vt:lpstr>.03</vt:lpstr>
      <vt:lpstr>.04new</vt:lpstr>
      <vt:lpstr>.05n</vt:lpstr>
      <vt:lpstr>.06</vt:lpstr>
      <vt:lpstr>'.0'!Print_Area</vt:lpstr>
      <vt:lpstr>'.01'!Print_Area</vt:lpstr>
      <vt:lpstr>'.02'!Print_Area</vt:lpstr>
      <vt:lpstr>'.03'!Print_Area</vt:lpstr>
      <vt:lpstr>'.05n'!Print_Area</vt:lpstr>
      <vt:lpstr>'.06'!Print_Area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2016-01-21T16:40:39Z</dcterms:created>
  <dcterms:modified xsi:type="dcterms:W3CDTF">2017-10-13T21:39:32Z</dcterms:modified>
</cp:coreProperties>
</file>