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embeddings/oleObject7.bin" ContentType="application/vnd.openxmlformats-officedocument.oleObject"/>
  <Override PartName="/xl/embeddings/oleObject8.bin" ContentType="application/vnd.openxmlformats-officedocument.oleObject"/>
  <Override PartName="/xl/drawings/drawing6.xml" ContentType="application/vnd.openxmlformats-officedocument.drawing+xml"/>
  <Override PartName="/xl/embeddings/oleObject9.bin" ContentType="application/vnd.openxmlformats-officedocument.oleObject"/>
  <Override PartName="/xl/drawings/drawing7.xml" ContentType="application/vnd.openxmlformats-officedocument.drawing+xml"/>
  <Override PartName="/xl/embeddings/oleObject10.bin" ContentType="application/vnd.openxmlformats-officedocument.oleObject"/>
  <Override PartName="/xl/drawings/drawing8.xml" ContentType="application/vnd.openxmlformats-officedocument.drawing+xml"/>
  <Override PartName="/xl/embeddings/oleObject11.bin" ContentType="application/vnd.openxmlformats-officedocument.oleObject"/>
  <Override PartName="/xl/drawings/drawing9.xml" ContentType="application/vnd.openxmlformats-officedocument.drawing+xml"/>
  <Override PartName="/xl/embeddings/oleObject12.bin" ContentType="application/vnd.openxmlformats-officedocument.oleObject"/>
  <Override PartName="/xl/drawings/drawing10.xml" ContentType="application/vnd.openxmlformats-officedocument.drawing+xml"/>
  <Override PartName="/xl/embeddings/oleObject13.bin" ContentType="application/vnd.openxmlformats-officedocument.oleObject"/>
  <Override PartName="/xl/drawings/drawing11.xml" ContentType="application/vnd.openxmlformats-officedocument.drawing+xml"/>
  <Override PartName="/xl/embeddings/oleObject14.bin" ContentType="application/vnd.openxmlformats-officedocument.oleObject"/>
  <Override PartName="/xl/embeddings/oleObject15.bin" ContentType="application/vnd.openxmlformats-officedocument.oleObject"/>
  <Override PartName="/xl/drawings/drawing12.xml" ContentType="application/vnd.openxmlformats-officedocument.drawing+xml"/>
  <Override PartName="/xl/embeddings/oleObject16.bin" ContentType="application/vnd.openxmlformats-officedocument.oleObject"/>
  <Override PartName="/xl/comments1.xml" ContentType="application/vnd.openxmlformats-officedocument.spreadsheetml.comments+xml"/>
  <Override PartName="/xl/drawings/drawing13.xml" ContentType="application/vnd.openxmlformats-officedocument.drawing+xml"/>
  <Override PartName="/xl/embeddings/oleObject17.bin" ContentType="application/vnd.openxmlformats-officedocument.oleObject"/>
  <Override PartName="/xl/drawings/drawing14.xml" ContentType="application/vnd.openxmlformats-officedocument.drawing+xml"/>
  <Override PartName="/xl/embeddings/oleObject18.bin" ContentType="application/vnd.openxmlformats-officedocument.oleObject"/>
  <Override PartName="/xl/drawings/drawing15.xml" ContentType="application/vnd.openxmlformats-officedocument.drawing+xml"/>
  <Override PartName="/xl/embeddings/oleObject19.bin" ContentType="application/vnd.openxmlformats-officedocument.oleObject"/>
  <Override PartName="/xl/drawings/drawing16.xml" ContentType="application/vnd.openxmlformats-officedocument.drawing+xml"/>
  <Override PartName="/xl/embeddings/oleObject20.bin" ContentType="application/vnd.openxmlformats-officedocument.oleObject"/>
  <Override PartName="/xl/drawings/drawing17.xml" ContentType="application/vnd.openxmlformats-officedocument.drawing+xml"/>
  <Override PartName="/xl/embeddings/oleObject21.bin" ContentType="application/vnd.openxmlformats-officedocument.oleObject"/>
  <Override PartName="/xl/embeddings/oleObject22.bin" ContentType="application/vnd.openxmlformats-officedocument.oleObject"/>
  <Override PartName="/xl/drawings/drawing18.xml" ContentType="application/vnd.openxmlformats-officedocument.drawing+xml"/>
  <Override PartName="/xl/embeddings/oleObject23.bin" ContentType="application/vnd.openxmlformats-officedocument.oleObject"/>
  <Override PartName="/xl/drawings/drawing19.xml" ContentType="application/vnd.openxmlformats-officedocument.drawing+xml"/>
  <Override PartName="/xl/embeddings/oleObject24.bin" ContentType="application/vnd.openxmlformats-officedocument.oleObject"/>
  <Override PartName="/xl/drawings/drawing20.xml" ContentType="application/vnd.openxmlformats-officedocument.drawing+xml"/>
  <Override PartName="/xl/embeddings/oleObject25.bin" ContentType="application/vnd.openxmlformats-officedocument.oleObject"/>
  <Override PartName="/xl/drawings/drawing21.xml" ContentType="application/vnd.openxmlformats-officedocument.drawing+xml"/>
  <Override PartName="/xl/embeddings/oleObject26.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490" windowHeight="7755" firstSheet="2" activeTab="2"/>
  </bookViews>
  <sheets>
    <sheet name=".0" sheetId="1" state="hidden" r:id="rId1"/>
    <sheet name="Notes" sheetId="25" state="hidden" r:id="rId2"/>
    <sheet name="3.01a" sheetId="27" r:id="rId3"/>
    <sheet name="3.01b" sheetId="31" r:id="rId4"/>
    <sheet name="3.01c" sheetId="36" r:id="rId5"/>
    <sheet name="3.02a" sheetId="30" r:id="rId6"/>
    <sheet name="3.02b" sheetId="29" r:id="rId7"/>
    <sheet name="3.02c" sheetId="37" r:id="rId8"/>
    <sheet name="3.02d" sheetId="44" r:id="rId9"/>
    <sheet name="3.03" sheetId="3" r:id="rId10"/>
    <sheet name="3.04" sheetId="28" r:id="rId11"/>
    <sheet name=".03a" sheetId="5" state="hidden" r:id="rId12"/>
    <sheet name=".03c" sheetId="6" state="hidden" r:id="rId13"/>
    <sheet name="Rec Exp work(.05)" sheetId="19" state="hidden" r:id="rId14"/>
    <sheet name="3.06a" sheetId="22" state="hidden" r:id="rId15"/>
    <sheet name=".04rold" sheetId="7" state="hidden" r:id="rId16"/>
    <sheet name="3.06b" sheetId="8" state="hidden" r:id="rId17"/>
    <sheet name=".05rc" sheetId="10" state="hidden" r:id="rId18"/>
    <sheet name="3.05" sheetId="40" r:id="rId19"/>
    <sheet name="3.06" sheetId="13" r:id="rId20"/>
    <sheet name="3.07" sheetId="26" state="hidden" r:id="rId21"/>
    <sheet name=".08c&amp;d" sheetId="39" state="hidden" r:id="rId22"/>
    <sheet name="3.07a" sheetId="42" r:id="rId23"/>
    <sheet name="3.07b" sheetId="43" r:id="rId24"/>
    <sheet name="Sheet1" sheetId="41" r:id="rId25"/>
    <sheet name="Sheet2" sheetId="45" r:id="rId26"/>
  </sheets>
  <definedNames>
    <definedName name="_xlnm.Print_Area" localSheetId="0">'.0'!$C$2:$M$52</definedName>
    <definedName name="_xlnm.Print_Area" localSheetId="15">'.04rold'!$A$1:$O$79</definedName>
    <definedName name="_xlnm.Print_Area" localSheetId="17">'.05rc'!$A$1:$Y$55</definedName>
    <definedName name="_xlnm.Print_Area" localSheetId="21">'.08c&amp;d'!$A$1:$X$52</definedName>
    <definedName name="_xlnm.Print_Area" localSheetId="2">'3.01a'!$A$2:$M$69</definedName>
    <definedName name="_xlnm.Print_Area" localSheetId="3">'3.01b'!$A$1:$U$72</definedName>
    <definedName name="_xlnm.Print_Area" localSheetId="4">'3.01c'!$A$1:$M$44</definedName>
    <definedName name="_xlnm.Print_Area" localSheetId="5">'3.02a'!$A$1:$Q$122</definedName>
    <definedName name="_xlnm.Print_Area" localSheetId="6">'3.02b'!$A$1:$N$69</definedName>
    <definedName name="_xlnm.Print_Area" localSheetId="7">'3.02c'!$A$1:$P$60</definedName>
    <definedName name="_xlnm.Print_Area" localSheetId="9">'3.03'!$A$2:$AB$73</definedName>
    <definedName name="_xlnm.Print_Area" localSheetId="10">'3.04'!$A$2:$R$65</definedName>
    <definedName name="_xlnm.Print_Area" localSheetId="18">'3.05'!$A$1:$W$71</definedName>
    <definedName name="_xlnm.Print_Area" localSheetId="19">'3.06'!$A$2:$BD$66</definedName>
    <definedName name="_xlnm.Print_Area" localSheetId="14">'3.06a'!$A$1:$M$69</definedName>
    <definedName name="_xlnm.Print_Area" localSheetId="16">'3.06b'!$A$2:$Y$64</definedName>
    <definedName name="_xlnm.Print_Area" localSheetId="20">'3.07'!$A$1:$V$39</definedName>
    <definedName name="_xlnm.Print_Area" localSheetId="1">Notes!$A$2:$N$41</definedName>
    <definedName name="_xlnm.Print_Area" localSheetId="13">'Rec Exp work(.05)'!$A$2:$Y$72</definedName>
  </definedNames>
  <calcPr calcId="145621"/>
</workbook>
</file>

<file path=xl/calcChain.xml><?xml version="1.0" encoding="utf-8"?>
<calcChain xmlns="http://schemas.openxmlformats.org/spreadsheetml/2006/main">
  <c r="G27" i="43" l="1"/>
  <c r="E27" i="43"/>
  <c r="L40" i="13"/>
  <c r="L36" i="13"/>
  <c r="L32" i="13"/>
  <c r="L28" i="13"/>
  <c r="L24" i="13"/>
  <c r="L20" i="13"/>
  <c r="F20" i="13"/>
  <c r="L16" i="13"/>
  <c r="L12" i="13"/>
  <c r="K37" i="44" l="1"/>
  <c r="K38" i="44"/>
  <c r="K39" i="44"/>
  <c r="N28" i="27"/>
  <c r="F18" i="29" l="1"/>
  <c r="E18" i="29"/>
  <c r="J105" i="30" l="1"/>
  <c r="N13" i="27"/>
  <c r="M13" i="27"/>
  <c r="AA60" i="3" l="1"/>
  <c r="AA51" i="3"/>
  <c r="AA42" i="3" l="1"/>
  <c r="AA40" i="3"/>
  <c r="AA35" i="3"/>
  <c r="AA33" i="3"/>
  <c r="AA27" i="3"/>
  <c r="AA20" i="3"/>
  <c r="AA18" i="3"/>
  <c r="AA25" i="3"/>
  <c r="AA39" i="3" l="1"/>
  <c r="AA41" i="3" s="1"/>
  <c r="J40" i="44"/>
  <c r="AA43" i="3" l="1"/>
  <c r="G105" i="30"/>
  <c r="G32" i="29"/>
  <c r="F17" i="29"/>
  <c r="H105" i="30"/>
  <c r="F41" i="29"/>
  <c r="G25" i="29" l="1"/>
  <c r="G18" i="29" s="1"/>
  <c r="H108" i="30"/>
  <c r="G108" i="30"/>
  <c r="I107" i="30"/>
  <c r="I106" i="30"/>
  <c r="I104" i="30"/>
  <c r="I103" i="30"/>
  <c r="N44" i="27"/>
  <c r="L60" i="31"/>
  <c r="L52" i="31"/>
  <c r="L44" i="31"/>
  <c r="L36" i="31"/>
  <c r="L28" i="31"/>
  <c r="L12" i="31" s="1"/>
  <c r="L13" i="31"/>
  <c r="L14" i="31"/>
  <c r="L16" i="31"/>
  <c r="L17" i="31"/>
  <c r="L18" i="31"/>
  <c r="L20" i="31"/>
  <c r="N19" i="27"/>
  <c r="I108" i="30" l="1"/>
  <c r="I105" i="30"/>
  <c r="J98" i="30" l="1"/>
  <c r="Z18" i="3"/>
  <c r="Z60" i="3" l="1"/>
  <c r="Z51" i="3"/>
  <c r="Z40" i="3" l="1"/>
  <c r="Z42" i="3"/>
  <c r="Z25" i="3"/>
  <c r="Z27" i="3"/>
  <c r="Z33" i="3"/>
  <c r="Z35" i="3"/>
  <c r="Z39" i="3"/>
  <c r="J57" i="44"/>
  <c r="I40" i="44"/>
  <c r="Z43" i="3" l="1"/>
  <c r="Z41" i="3"/>
  <c r="J18" i="37"/>
  <c r="J19" i="37"/>
  <c r="I17" i="37"/>
  <c r="I18" i="37"/>
  <c r="I19" i="37"/>
  <c r="H16" i="37"/>
  <c r="H17" i="37"/>
  <c r="H18" i="37"/>
  <c r="H19" i="37"/>
  <c r="G15" i="37"/>
  <c r="G16" i="37"/>
  <c r="G17" i="37"/>
  <c r="G18" i="37"/>
  <c r="F14" i="37"/>
  <c r="F15" i="37"/>
  <c r="F16" i="37"/>
  <c r="E13" i="37"/>
  <c r="E14" i="37"/>
  <c r="E15" i="37"/>
  <c r="E16" i="37"/>
  <c r="D13" i="37"/>
  <c r="D14" i="37"/>
  <c r="D15" i="37"/>
  <c r="D12" i="37"/>
  <c r="E27" i="36" l="1"/>
  <c r="F27" i="36"/>
  <c r="K60" i="31" l="1"/>
  <c r="M44" i="27"/>
  <c r="K52" i="31"/>
  <c r="K44" i="31"/>
  <c r="K36" i="31"/>
  <c r="K28" i="31"/>
  <c r="K20" i="31"/>
  <c r="K13" i="31"/>
  <c r="K14" i="31"/>
  <c r="K15" i="31"/>
  <c r="K16" i="31"/>
  <c r="K17" i="31"/>
  <c r="K18" i="31"/>
  <c r="M28" i="27"/>
  <c r="J28" i="27"/>
  <c r="L19" i="27"/>
  <c r="M19" i="27"/>
  <c r="K12" i="31" l="1"/>
  <c r="I96" i="30"/>
  <c r="I97" i="30"/>
  <c r="G98" i="30"/>
  <c r="H98" i="30"/>
  <c r="I99" i="30"/>
  <c r="I100" i="30"/>
  <c r="G101" i="30"/>
  <c r="H101" i="30"/>
  <c r="I101" i="30" l="1"/>
  <c r="I98" i="30"/>
  <c r="L13" i="27" l="1"/>
  <c r="L33" i="27"/>
  <c r="L28" i="27" s="1"/>
  <c r="Y51" i="3"/>
  <c r="Y60" i="3"/>
  <c r="Y42" i="3"/>
  <c r="Y18" i="3"/>
  <c r="Z20" i="3"/>
  <c r="Y27" i="3"/>
  <c r="Y25" i="3"/>
  <c r="Y35" i="3"/>
  <c r="Y33" i="3"/>
  <c r="Y39" i="3"/>
  <c r="Y43" i="3" s="1"/>
  <c r="I57" i="44"/>
  <c r="I23" i="44" s="1"/>
  <c r="H57" i="44"/>
  <c r="H40" i="44"/>
  <c r="G40" i="44"/>
  <c r="G57" i="44"/>
  <c r="F57" i="44"/>
  <c r="F40" i="44"/>
  <c r="E57" i="44"/>
  <c r="E40" i="44"/>
  <c r="D57" i="44"/>
  <c r="D40" i="44"/>
  <c r="K45" i="44"/>
  <c r="K46" i="44"/>
  <c r="K47" i="44"/>
  <c r="K48" i="44"/>
  <c r="K49" i="44"/>
  <c r="K50" i="44"/>
  <c r="K51" i="44"/>
  <c r="K52" i="44"/>
  <c r="K53" i="44"/>
  <c r="K54" i="44"/>
  <c r="K55" i="44"/>
  <c r="K44" i="44"/>
  <c r="K28" i="44"/>
  <c r="K29" i="44"/>
  <c r="K30" i="44"/>
  <c r="K31" i="44"/>
  <c r="K32" i="44"/>
  <c r="K33" i="44"/>
  <c r="K34" i="44"/>
  <c r="K35" i="44"/>
  <c r="K36" i="44"/>
  <c r="K20" i="44" s="1"/>
  <c r="K27" i="44"/>
  <c r="D12" i="44"/>
  <c r="D13" i="44"/>
  <c r="E13" i="44"/>
  <c r="D14" i="44"/>
  <c r="E14" i="44"/>
  <c r="F14" i="44"/>
  <c r="D15" i="44"/>
  <c r="E15" i="44"/>
  <c r="F15" i="44"/>
  <c r="G15" i="44"/>
  <c r="E16" i="44"/>
  <c r="F16" i="44"/>
  <c r="G16" i="44"/>
  <c r="H16" i="44"/>
  <c r="F17" i="44"/>
  <c r="G17" i="44"/>
  <c r="H17" i="44"/>
  <c r="I17" i="44"/>
  <c r="D18" i="44"/>
  <c r="G18" i="44"/>
  <c r="H18" i="44"/>
  <c r="I18" i="44"/>
  <c r="J18" i="44"/>
  <c r="H19" i="44"/>
  <c r="I19" i="44"/>
  <c r="J19" i="44"/>
  <c r="I20" i="44"/>
  <c r="J20" i="44"/>
  <c r="K42" i="37"/>
  <c r="K43" i="37"/>
  <c r="K44" i="37"/>
  <c r="K45" i="37"/>
  <c r="K46" i="37"/>
  <c r="K47" i="37"/>
  <c r="K48" i="37"/>
  <c r="K49" i="37"/>
  <c r="K27" i="37"/>
  <c r="K28" i="37"/>
  <c r="K29" i="37"/>
  <c r="K30" i="37"/>
  <c r="K31" i="37"/>
  <c r="K32" i="37"/>
  <c r="K17" i="37" s="1"/>
  <c r="K33" i="37"/>
  <c r="K34" i="37"/>
  <c r="K19" i="37" s="1"/>
  <c r="F38" i="37"/>
  <c r="G38" i="37"/>
  <c r="H38" i="37"/>
  <c r="I38" i="37"/>
  <c r="J38" i="37"/>
  <c r="F53" i="37"/>
  <c r="G53" i="37"/>
  <c r="H53" i="37"/>
  <c r="I53" i="37"/>
  <c r="J53" i="37"/>
  <c r="D53" i="37"/>
  <c r="E53" i="37"/>
  <c r="E38" i="37"/>
  <c r="D38" i="37"/>
  <c r="K18" i="37"/>
  <c r="D23" i="37"/>
  <c r="G58" i="29"/>
  <c r="G59" i="29"/>
  <c r="F55" i="29"/>
  <c r="E55" i="29"/>
  <c r="F48" i="29"/>
  <c r="E48" i="29"/>
  <c r="E41" i="29"/>
  <c r="F34" i="29"/>
  <c r="E34" i="29"/>
  <c r="G23" i="29"/>
  <c r="G24" i="29"/>
  <c r="G31" i="29"/>
  <c r="G30" i="29"/>
  <c r="F27" i="29"/>
  <c r="E27" i="29"/>
  <c r="F20" i="29"/>
  <c r="E20" i="29"/>
  <c r="G45" i="29"/>
  <c r="G44" i="29"/>
  <c r="G52" i="29"/>
  <c r="G51" i="29"/>
  <c r="G38" i="29"/>
  <c r="G37" i="29"/>
  <c r="G29" i="29"/>
  <c r="G22" i="29"/>
  <c r="H23" i="37"/>
  <c r="G56" i="29"/>
  <c r="G49" i="29"/>
  <c r="G42" i="29"/>
  <c r="G35" i="29"/>
  <c r="G28" i="29"/>
  <c r="G21" i="29"/>
  <c r="F14" i="29"/>
  <c r="F15" i="29"/>
  <c r="F16" i="29"/>
  <c r="E16" i="29"/>
  <c r="E17" i="29"/>
  <c r="E15" i="29"/>
  <c r="E14" i="29"/>
  <c r="G91" i="30"/>
  <c r="H94" i="30"/>
  <c r="G94" i="30"/>
  <c r="I93" i="30"/>
  <c r="I92" i="30"/>
  <c r="I94" i="30" s="1"/>
  <c r="H91" i="30"/>
  <c r="I90" i="30"/>
  <c r="I89" i="30"/>
  <c r="G84" i="30"/>
  <c r="G21" i="36"/>
  <c r="G22" i="36"/>
  <c r="G23" i="36"/>
  <c r="G24" i="36"/>
  <c r="G25" i="36"/>
  <c r="G26" i="36"/>
  <c r="G31" i="36"/>
  <c r="G32" i="36"/>
  <c r="G33" i="36"/>
  <c r="G34" i="36"/>
  <c r="G35" i="36"/>
  <c r="G36" i="36"/>
  <c r="D27" i="36"/>
  <c r="G27" i="36" s="1"/>
  <c r="F37" i="36"/>
  <c r="E37" i="36"/>
  <c r="D37" i="36"/>
  <c r="E11" i="36"/>
  <c r="F11" i="36"/>
  <c r="E12" i="36"/>
  <c r="F12" i="36"/>
  <c r="E13" i="36"/>
  <c r="F13" i="36"/>
  <c r="E14" i="36"/>
  <c r="F14" i="36"/>
  <c r="E15" i="36"/>
  <c r="F15" i="36"/>
  <c r="E16" i="36"/>
  <c r="F16" i="36"/>
  <c r="D13" i="36"/>
  <c r="D14" i="36"/>
  <c r="D15" i="36"/>
  <c r="D16" i="36"/>
  <c r="D12" i="36"/>
  <c r="D11" i="36"/>
  <c r="J60" i="31"/>
  <c r="J52" i="31"/>
  <c r="J44" i="31"/>
  <c r="J36" i="31"/>
  <c r="J28" i="31"/>
  <c r="J13" i="31"/>
  <c r="J14" i="31"/>
  <c r="J16" i="31"/>
  <c r="J17" i="31"/>
  <c r="J18" i="31"/>
  <c r="J20" i="31"/>
  <c r="L38" i="27"/>
  <c r="L44" i="27"/>
  <c r="K19" i="27"/>
  <c r="X60" i="3"/>
  <c r="X54" i="3"/>
  <c r="X51" i="3"/>
  <c r="X42" i="3"/>
  <c r="X40" i="3"/>
  <c r="X39" i="3"/>
  <c r="X43" i="3"/>
  <c r="X35" i="3"/>
  <c r="X33" i="3"/>
  <c r="X27" i="3"/>
  <c r="X25" i="3"/>
  <c r="Y20" i="3"/>
  <c r="X18" i="3"/>
  <c r="H87" i="30"/>
  <c r="G87" i="30"/>
  <c r="I86" i="30"/>
  <c r="I85" i="30"/>
  <c r="H84" i="30"/>
  <c r="I83" i="30"/>
  <c r="I82" i="30"/>
  <c r="H80" i="30"/>
  <c r="G80" i="30"/>
  <c r="I79" i="30"/>
  <c r="I78" i="30"/>
  <c r="I80" i="30" s="1"/>
  <c r="H77" i="30"/>
  <c r="G77" i="30"/>
  <c r="I76" i="30"/>
  <c r="I75" i="30"/>
  <c r="I77" i="30"/>
  <c r="H73" i="30"/>
  <c r="G73" i="30"/>
  <c r="I72" i="30"/>
  <c r="I71" i="30"/>
  <c r="I73" i="30" s="1"/>
  <c r="H70" i="30"/>
  <c r="G70" i="30"/>
  <c r="I69" i="30"/>
  <c r="I68" i="30"/>
  <c r="H66" i="30"/>
  <c r="G66" i="30"/>
  <c r="I65" i="30"/>
  <c r="I64" i="30"/>
  <c r="J63" i="30"/>
  <c r="H63" i="30"/>
  <c r="G63" i="30"/>
  <c r="I62" i="30"/>
  <c r="I61" i="30"/>
  <c r="H59" i="30"/>
  <c r="G59" i="30"/>
  <c r="I58" i="30"/>
  <c r="I57" i="30"/>
  <c r="J56" i="30"/>
  <c r="H56" i="30"/>
  <c r="G56" i="30"/>
  <c r="I55" i="30"/>
  <c r="I54" i="30"/>
  <c r="H52" i="30"/>
  <c r="G52" i="30"/>
  <c r="I51" i="30"/>
  <c r="I50" i="30"/>
  <c r="I52" i="30" s="1"/>
  <c r="H49" i="30"/>
  <c r="G49" i="30"/>
  <c r="I48" i="30"/>
  <c r="I47" i="30"/>
  <c r="H45" i="30"/>
  <c r="G45" i="30"/>
  <c r="F45" i="30"/>
  <c r="I44" i="30"/>
  <c r="I43" i="30"/>
  <c r="I45" i="30"/>
  <c r="I42" i="30"/>
  <c r="I41" i="30"/>
  <c r="I40" i="30"/>
  <c r="H38" i="30"/>
  <c r="G38" i="30"/>
  <c r="F38" i="30"/>
  <c r="I37" i="30"/>
  <c r="I36" i="30"/>
  <c r="I38" i="30" s="1"/>
  <c r="J35" i="30"/>
  <c r="H35" i="30"/>
  <c r="G35" i="30"/>
  <c r="F35" i="30"/>
  <c r="I31" i="30"/>
  <c r="H31" i="30"/>
  <c r="G31" i="30"/>
  <c r="F31" i="30"/>
  <c r="J28" i="30"/>
  <c r="H28" i="30"/>
  <c r="G28" i="30"/>
  <c r="F28" i="30"/>
  <c r="I27" i="30"/>
  <c r="I26" i="30"/>
  <c r="I24" i="30"/>
  <c r="H24" i="30"/>
  <c r="G24" i="30"/>
  <c r="F24" i="30"/>
  <c r="J21" i="30"/>
  <c r="H21" i="30"/>
  <c r="G21" i="30"/>
  <c r="F21" i="30"/>
  <c r="I20" i="30"/>
  <c r="I19" i="30"/>
  <c r="I21" i="30" s="1"/>
  <c r="I17" i="30"/>
  <c r="H17" i="30"/>
  <c r="G17" i="30"/>
  <c r="F17" i="30"/>
  <c r="J14" i="30"/>
  <c r="H14" i="30"/>
  <c r="G14" i="30"/>
  <c r="F14" i="30"/>
  <c r="I13" i="30"/>
  <c r="I12" i="30"/>
  <c r="I14" i="30" s="1"/>
  <c r="I60" i="31"/>
  <c r="H60" i="31"/>
  <c r="G60" i="31"/>
  <c r="F60" i="31"/>
  <c r="E60" i="31"/>
  <c r="I52" i="31"/>
  <c r="H52" i="31"/>
  <c r="G52" i="31"/>
  <c r="F52" i="31"/>
  <c r="E52" i="31"/>
  <c r="I44" i="31"/>
  <c r="H44" i="31"/>
  <c r="G44" i="31"/>
  <c r="F44" i="31"/>
  <c r="E44" i="31"/>
  <c r="I36" i="31"/>
  <c r="H36" i="31"/>
  <c r="G36" i="31"/>
  <c r="F36" i="31"/>
  <c r="E36" i="31"/>
  <c r="I28" i="31"/>
  <c r="H28" i="31"/>
  <c r="G28" i="31"/>
  <c r="F28" i="31"/>
  <c r="E28" i="31"/>
  <c r="I20" i="31"/>
  <c r="H20" i="31"/>
  <c r="G20" i="31"/>
  <c r="F20" i="31"/>
  <c r="E20" i="31"/>
  <c r="I18" i="31"/>
  <c r="H18" i="31"/>
  <c r="G18" i="31"/>
  <c r="F18" i="31"/>
  <c r="E18" i="31"/>
  <c r="I17" i="31"/>
  <c r="H17" i="31"/>
  <c r="G17" i="31"/>
  <c r="F17" i="31"/>
  <c r="E17" i="31"/>
  <c r="I16" i="31"/>
  <c r="H16" i="31"/>
  <c r="G16" i="31"/>
  <c r="F16" i="31"/>
  <c r="E16" i="31"/>
  <c r="H15" i="31"/>
  <c r="F15" i="31"/>
  <c r="E15" i="31"/>
  <c r="I14" i="31"/>
  <c r="H14" i="31"/>
  <c r="G14" i="31"/>
  <c r="F14" i="31"/>
  <c r="E14" i="31"/>
  <c r="I13" i="31"/>
  <c r="H13" i="31"/>
  <c r="G13" i="31"/>
  <c r="F13" i="31"/>
  <c r="E13" i="31"/>
  <c r="K44" i="27"/>
  <c r="J44" i="27"/>
  <c r="I44" i="27"/>
  <c r="H44" i="27"/>
  <c r="G44" i="27"/>
  <c r="F44" i="27"/>
  <c r="J38" i="27"/>
  <c r="I38" i="27"/>
  <c r="H38" i="27"/>
  <c r="G38" i="27"/>
  <c r="F38" i="27"/>
  <c r="K28" i="27"/>
  <c r="I28" i="27"/>
  <c r="H28" i="27"/>
  <c r="G28" i="27"/>
  <c r="D28" i="27"/>
  <c r="J19" i="27"/>
  <c r="I19" i="27"/>
  <c r="H19" i="27"/>
  <c r="G19" i="27"/>
  <c r="D19" i="27"/>
  <c r="K13" i="27"/>
  <c r="I13" i="27"/>
  <c r="H13" i="27"/>
  <c r="G13" i="27"/>
  <c r="W60" i="3"/>
  <c r="W51" i="3"/>
  <c r="W42" i="3"/>
  <c r="W43" i="3" s="1"/>
  <c r="W40" i="3"/>
  <c r="W39" i="3"/>
  <c r="W35" i="3"/>
  <c r="W33" i="3"/>
  <c r="W27" i="3"/>
  <c r="W25" i="3"/>
  <c r="X20" i="3"/>
  <c r="W18" i="3"/>
  <c r="V40" i="3"/>
  <c r="V60" i="3"/>
  <c r="V54" i="3"/>
  <c r="V42" i="3"/>
  <c r="V39" i="3"/>
  <c r="V43" i="3" s="1"/>
  <c r="V35" i="3"/>
  <c r="V33" i="3"/>
  <c r="V27" i="3"/>
  <c r="V25" i="3"/>
  <c r="W20" i="3"/>
  <c r="V18" i="3"/>
  <c r="U54" i="3"/>
  <c r="U42" i="3"/>
  <c r="U43" i="3" s="1"/>
  <c r="U35" i="3"/>
  <c r="U27" i="3"/>
  <c r="U20" i="3"/>
  <c r="U60" i="3"/>
  <c r="U40" i="3"/>
  <c r="U41" i="3" s="1"/>
  <c r="T40" i="3"/>
  <c r="T41" i="3" s="1"/>
  <c r="U33" i="3"/>
  <c r="U25" i="3"/>
  <c r="U18" i="3"/>
  <c r="U39" i="3"/>
  <c r="E45" i="39"/>
  <c r="E18" i="3"/>
  <c r="F18" i="3"/>
  <c r="G18" i="3"/>
  <c r="H18" i="3"/>
  <c r="K18" i="3"/>
  <c r="M18" i="3"/>
  <c r="N18" i="3"/>
  <c r="O18" i="3"/>
  <c r="P18" i="3"/>
  <c r="Q18" i="3"/>
  <c r="R18" i="3"/>
  <c r="S18" i="3"/>
  <c r="T18" i="3"/>
  <c r="E25" i="3"/>
  <c r="F25" i="3"/>
  <c r="G25" i="3"/>
  <c r="H25" i="3"/>
  <c r="K25" i="3"/>
  <c r="M25" i="3"/>
  <c r="N25" i="3"/>
  <c r="O25" i="3"/>
  <c r="P25" i="3"/>
  <c r="Q25" i="3"/>
  <c r="R25" i="3"/>
  <c r="S25" i="3"/>
  <c r="T25" i="3"/>
  <c r="E33" i="3"/>
  <c r="F33" i="3"/>
  <c r="G33" i="3"/>
  <c r="H33" i="3"/>
  <c r="K33" i="3"/>
  <c r="M33" i="3"/>
  <c r="N33" i="3"/>
  <c r="O33" i="3"/>
  <c r="P33" i="3"/>
  <c r="Q33" i="3"/>
  <c r="R33" i="3"/>
  <c r="S33" i="3"/>
  <c r="T33" i="3"/>
  <c r="E39" i="3"/>
  <c r="F39" i="3"/>
  <c r="F41" i="3" s="1"/>
  <c r="G39" i="3"/>
  <c r="G41" i="3" s="1"/>
  <c r="H39" i="3"/>
  <c r="H41" i="3" s="1"/>
  <c r="K39" i="3"/>
  <c r="M39" i="3"/>
  <c r="N39" i="3"/>
  <c r="T39" i="3"/>
  <c r="E40" i="3"/>
  <c r="F40" i="3"/>
  <c r="G40" i="3"/>
  <c r="H40" i="3"/>
  <c r="K40" i="3"/>
  <c r="M40" i="3"/>
  <c r="N40" i="3"/>
  <c r="N41" i="3" s="1"/>
  <c r="H24" i="39"/>
  <c r="G24" i="39"/>
  <c r="F24" i="39"/>
  <c r="E24" i="39"/>
  <c r="D24" i="39"/>
  <c r="J24" i="39" s="1"/>
  <c r="I23" i="39"/>
  <c r="H23" i="39"/>
  <c r="G23" i="39"/>
  <c r="F23" i="39"/>
  <c r="E23" i="39"/>
  <c r="J23" i="39" s="1"/>
  <c r="D23" i="39"/>
  <c r="I22" i="39"/>
  <c r="H22" i="39"/>
  <c r="G22" i="39"/>
  <c r="F22" i="39"/>
  <c r="E22" i="39"/>
  <c r="D22" i="39"/>
  <c r="J22" i="39" s="1"/>
  <c r="I21" i="39"/>
  <c r="H21" i="39"/>
  <c r="F21" i="39"/>
  <c r="E21" i="39"/>
  <c r="D21" i="39"/>
  <c r="J21" i="39" s="1"/>
  <c r="I18" i="39"/>
  <c r="H18" i="39"/>
  <c r="G18" i="39"/>
  <c r="F18" i="39"/>
  <c r="E18" i="39"/>
  <c r="D18" i="39"/>
  <c r="J18" i="39" s="1"/>
  <c r="I17" i="39"/>
  <c r="H17" i="39"/>
  <c r="G17" i="39"/>
  <c r="F17" i="39"/>
  <c r="E17" i="39"/>
  <c r="J17" i="39" s="1"/>
  <c r="D17" i="39"/>
  <c r="I16" i="39"/>
  <c r="H16" i="39"/>
  <c r="G16" i="39"/>
  <c r="F16" i="39"/>
  <c r="E16" i="39"/>
  <c r="D16" i="39"/>
  <c r="J16" i="39" s="1"/>
  <c r="I15" i="39"/>
  <c r="H15" i="39"/>
  <c r="G15" i="39"/>
  <c r="F15" i="39"/>
  <c r="F27" i="39" s="1"/>
  <c r="F28" i="39" s="1"/>
  <c r="E15" i="39"/>
  <c r="D15" i="39"/>
  <c r="J15" i="39" s="1"/>
  <c r="I14" i="39"/>
  <c r="E14" i="39"/>
  <c r="D14" i="39"/>
  <c r="J14" i="39" s="1"/>
  <c r="I13" i="39"/>
  <c r="I27" i="39" s="1"/>
  <c r="I28" i="39" s="1"/>
  <c r="H13" i="39"/>
  <c r="G13" i="39"/>
  <c r="F13" i="39"/>
  <c r="E13" i="39"/>
  <c r="J13" i="39" s="1"/>
  <c r="D13" i="39"/>
  <c r="I12" i="39"/>
  <c r="H12" i="39"/>
  <c r="G12" i="39"/>
  <c r="J12" i="39" s="1"/>
  <c r="F12" i="39"/>
  <c r="E12" i="39"/>
  <c r="D12" i="39"/>
  <c r="I11" i="39"/>
  <c r="H11" i="39"/>
  <c r="H27" i="39" s="1"/>
  <c r="H28" i="39" s="1"/>
  <c r="G11" i="39"/>
  <c r="F11" i="39"/>
  <c r="E11" i="39"/>
  <c r="E27" i="39" s="1"/>
  <c r="E28" i="39" s="1"/>
  <c r="D11" i="39"/>
  <c r="D27" i="39" s="1"/>
  <c r="G45" i="39"/>
  <c r="D45" i="39"/>
  <c r="T54" i="3"/>
  <c r="T60" i="3"/>
  <c r="L22" i="22"/>
  <c r="W50" i="19"/>
  <c r="X41" i="19"/>
  <c r="W41" i="19"/>
  <c r="W30" i="19"/>
  <c r="W28" i="19"/>
  <c r="W16" i="19"/>
  <c r="W14" i="19" s="1"/>
  <c r="K45" i="22"/>
  <c r="K37" i="22"/>
  <c r="K22" i="22"/>
  <c r="K17" i="22"/>
  <c r="K13" i="22"/>
  <c r="W49" i="8"/>
  <c r="W13" i="8"/>
  <c r="M14" i="26"/>
  <c r="L14" i="26"/>
  <c r="J14" i="26"/>
  <c r="R51" i="3"/>
  <c r="R60" i="3"/>
  <c r="X30" i="19"/>
  <c r="X28" i="19"/>
  <c r="I14" i="26"/>
  <c r="G14" i="26"/>
  <c r="V43" i="19"/>
  <c r="L45" i="22"/>
  <c r="J45" i="22"/>
  <c r="J22" i="22"/>
  <c r="F14" i="26"/>
  <c r="A1" i="10"/>
  <c r="O12" i="10"/>
  <c r="P12" i="10"/>
  <c r="Q12" i="10"/>
  <c r="R12" i="10"/>
  <c r="S12" i="10"/>
  <c r="O17" i="10"/>
  <c r="P17" i="10"/>
  <c r="Q17" i="10"/>
  <c r="R17" i="10"/>
  <c r="S17" i="10"/>
  <c r="O19" i="10"/>
  <c r="P19" i="10"/>
  <c r="Q19" i="10"/>
  <c r="R19" i="10"/>
  <c r="S19" i="10"/>
  <c r="O24" i="10"/>
  <c r="P24" i="10"/>
  <c r="Q24" i="10"/>
  <c r="R24" i="10"/>
  <c r="S24" i="10"/>
  <c r="O26" i="10"/>
  <c r="P26" i="10"/>
  <c r="Q26" i="10"/>
  <c r="R26" i="10"/>
  <c r="S26" i="10"/>
  <c r="O31" i="10"/>
  <c r="P31" i="10"/>
  <c r="Q31" i="10"/>
  <c r="R31" i="10"/>
  <c r="S31" i="10"/>
  <c r="O35" i="10"/>
  <c r="P35" i="10"/>
  <c r="Q35" i="10"/>
  <c r="R35" i="10"/>
  <c r="S35" i="10"/>
  <c r="T35" i="10"/>
  <c r="A54" i="10"/>
  <c r="D11" i="8"/>
  <c r="E11" i="8"/>
  <c r="F11" i="8"/>
  <c r="G11" i="8"/>
  <c r="H11" i="8" s="1"/>
  <c r="I11" i="8" s="1"/>
  <c r="J11" i="8" s="1"/>
  <c r="K11" i="8" s="1"/>
  <c r="C13" i="8"/>
  <c r="D13" i="8"/>
  <c r="E13" i="8"/>
  <c r="F13" i="8"/>
  <c r="G13" i="8"/>
  <c r="H13" i="8"/>
  <c r="J13" i="8"/>
  <c r="K13" i="8"/>
  <c r="L13" i="8"/>
  <c r="M13" i="8"/>
  <c r="N13" i="8"/>
  <c r="O13" i="8"/>
  <c r="P13" i="8"/>
  <c r="Q13" i="8"/>
  <c r="R13" i="8"/>
  <c r="T13" i="8"/>
  <c r="U13" i="8"/>
  <c r="V13" i="8"/>
  <c r="C30" i="8"/>
  <c r="D30" i="8"/>
  <c r="E30" i="8"/>
  <c r="F30" i="8"/>
  <c r="G30" i="8"/>
  <c r="H30" i="8"/>
  <c r="L30" i="8"/>
  <c r="M30" i="8"/>
  <c r="N30" i="8"/>
  <c r="O30" i="8"/>
  <c r="P30" i="8"/>
  <c r="R30" i="8"/>
  <c r="T30" i="8"/>
  <c r="U30" i="8"/>
  <c r="V30" i="8"/>
  <c r="U36" i="8"/>
  <c r="V36" i="8"/>
  <c r="U40" i="8"/>
  <c r="V40" i="8"/>
  <c r="J49" i="8"/>
  <c r="K49" i="8"/>
  <c r="L49" i="8"/>
  <c r="M49" i="8"/>
  <c r="N49" i="8"/>
  <c r="O49" i="8"/>
  <c r="P49" i="8"/>
  <c r="Q49" i="8"/>
  <c r="R49" i="8"/>
  <c r="T49" i="8"/>
  <c r="U49" i="8"/>
  <c r="V49" i="8"/>
  <c r="E30" i="7"/>
  <c r="F30" i="7"/>
  <c r="G30" i="7"/>
  <c r="H30" i="7"/>
  <c r="I30" i="7"/>
  <c r="E33" i="7"/>
  <c r="H33" i="7"/>
  <c r="I33" i="7"/>
  <c r="J33" i="7"/>
  <c r="K33" i="7"/>
  <c r="L33" i="7"/>
  <c r="M33" i="7"/>
  <c r="N33" i="7"/>
  <c r="O33" i="7"/>
  <c r="C38" i="7"/>
  <c r="D38" i="7"/>
  <c r="E38" i="7"/>
  <c r="F38" i="7"/>
  <c r="G38" i="7"/>
  <c r="H38" i="7"/>
  <c r="I38" i="7"/>
  <c r="J38" i="7"/>
  <c r="K38" i="7"/>
  <c r="L38" i="7"/>
  <c r="M38" i="7"/>
  <c r="N38" i="7"/>
  <c r="O38" i="7"/>
  <c r="C13" i="22"/>
  <c r="D13" i="22"/>
  <c r="E13" i="22"/>
  <c r="F13" i="22"/>
  <c r="G13" i="22"/>
  <c r="H13" i="22"/>
  <c r="J13" i="22"/>
  <c r="L13" i="22"/>
  <c r="C17" i="22"/>
  <c r="D17" i="22"/>
  <c r="E17" i="22"/>
  <c r="F17" i="22"/>
  <c r="G17" i="22"/>
  <c r="H17" i="22"/>
  <c r="R49" i="22" s="1"/>
  <c r="R50" i="22" s="1"/>
  <c r="J17" i="22"/>
  <c r="L17" i="22"/>
  <c r="C22" i="22"/>
  <c r="N49" i="22" s="1"/>
  <c r="O50" i="22" s="1"/>
  <c r="D22" i="22"/>
  <c r="E22" i="22"/>
  <c r="F22" i="22"/>
  <c r="G22" i="22"/>
  <c r="H22" i="22"/>
  <c r="C37" i="22"/>
  <c r="D37" i="22"/>
  <c r="E37" i="22"/>
  <c r="F37" i="22"/>
  <c r="G37" i="22"/>
  <c r="H37" i="22"/>
  <c r="J37" i="22"/>
  <c r="L37" i="22"/>
  <c r="H45" i="22"/>
  <c r="I11" i="19"/>
  <c r="J11" i="19"/>
  <c r="K11" i="19" s="1"/>
  <c r="L11" i="19" s="1"/>
  <c r="I14" i="19"/>
  <c r="I79" i="19"/>
  <c r="I85" i="19" s="1"/>
  <c r="J14" i="19"/>
  <c r="K14" i="19"/>
  <c r="K79" i="19"/>
  <c r="L14" i="19"/>
  <c r="L79" i="19" s="1"/>
  <c r="L85" i="19" s="1"/>
  <c r="H15" i="19"/>
  <c r="N15" i="19"/>
  <c r="O15" i="19"/>
  <c r="Q15" i="19"/>
  <c r="R15" i="19"/>
  <c r="R14" i="19" s="1"/>
  <c r="S15" i="19"/>
  <c r="T15" i="19"/>
  <c r="T14" i="19" s="1"/>
  <c r="AC15" i="19"/>
  <c r="F16" i="19"/>
  <c r="F14" i="19"/>
  <c r="G16" i="19"/>
  <c r="G14" i="19" s="1"/>
  <c r="G79" i="19" s="1"/>
  <c r="X16" i="19"/>
  <c r="X14" i="19"/>
  <c r="D17" i="19"/>
  <c r="D16" i="19"/>
  <c r="D14" i="19"/>
  <c r="D79" i="19"/>
  <c r="E17" i="19"/>
  <c r="E16" i="19" s="1"/>
  <c r="E14" i="19" s="1"/>
  <c r="E79" i="19" s="1"/>
  <c r="H17" i="19"/>
  <c r="H16" i="19"/>
  <c r="S17" i="19"/>
  <c r="T17" i="19"/>
  <c r="T16" i="19" s="1"/>
  <c r="U17" i="19"/>
  <c r="U16" i="19" s="1"/>
  <c r="U14" i="19" s="1"/>
  <c r="V17" i="19"/>
  <c r="H18" i="19"/>
  <c r="M18" i="19"/>
  <c r="M16" i="19"/>
  <c r="M14" i="19" s="1"/>
  <c r="M79" i="19" s="1"/>
  <c r="N18" i="19"/>
  <c r="N16" i="19" s="1"/>
  <c r="N14" i="19" s="1"/>
  <c r="N79" i="19" s="1"/>
  <c r="O18" i="19"/>
  <c r="O16" i="19" s="1"/>
  <c r="P18" i="19"/>
  <c r="R18" i="19"/>
  <c r="S18" i="19"/>
  <c r="T18" i="19"/>
  <c r="U18" i="19"/>
  <c r="V18" i="19"/>
  <c r="V16" i="19" s="1"/>
  <c r="V14" i="19" s="1"/>
  <c r="N19" i="19"/>
  <c r="O19" i="19"/>
  <c r="P19" i="19"/>
  <c r="P16" i="19" s="1"/>
  <c r="S19" i="19"/>
  <c r="T19" i="19"/>
  <c r="U19" i="19"/>
  <c r="V19" i="19"/>
  <c r="N23" i="19"/>
  <c r="O23" i="19"/>
  <c r="P23" i="19"/>
  <c r="Q23" i="19"/>
  <c r="R23" i="19"/>
  <c r="R16" i="19"/>
  <c r="S23" i="19"/>
  <c r="S16" i="19" s="1"/>
  <c r="S14" i="19" s="1"/>
  <c r="T23" i="19"/>
  <c r="U23" i="19"/>
  <c r="V23" i="19"/>
  <c r="M24" i="19"/>
  <c r="N24" i="19"/>
  <c r="O24" i="19"/>
  <c r="S24" i="19"/>
  <c r="T24" i="19"/>
  <c r="U24" i="19"/>
  <c r="M25" i="19"/>
  <c r="N25" i="19"/>
  <c r="O25" i="19"/>
  <c r="P25" i="19"/>
  <c r="S25" i="19"/>
  <c r="U25" i="19"/>
  <c r="V25" i="19"/>
  <c r="N26" i="19"/>
  <c r="O26" i="19"/>
  <c r="P26" i="19"/>
  <c r="Q26" i="19"/>
  <c r="Q16" i="19"/>
  <c r="R26" i="19"/>
  <c r="S26" i="19"/>
  <c r="T26" i="19"/>
  <c r="U26" i="19"/>
  <c r="V26" i="19"/>
  <c r="D29" i="19"/>
  <c r="D28" i="19"/>
  <c r="D81" i="19"/>
  <c r="E29" i="19"/>
  <c r="F29" i="19"/>
  <c r="G29" i="19"/>
  <c r="G28" i="19" s="1"/>
  <c r="G81" i="19" s="1"/>
  <c r="H29" i="19"/>
  <c r="I29" i="19"/>
  <c r="J29" i="19"/>
  <c r="J28" i="19" s="1"/>
  <c r="J81" i="19" s="1"/>
  <c r="K29" i="19"/>
  <c r="M29" i="19"/>
  <c r="N29" i="19"/>
  <c r="O29" i="19"/>
  <c r="O28" i="19"/>
  <c r="O81" i="19" s="1"/>
  <c r="Q29" i="19"/>
  <c r="Q28" i="19"/>
  <c r="R29" i="19"/>
  <c r="R28" i="19"/>
  <c r="S29" i="19"/>
  <c r="T29" i="19"/>
  <c r="D30" i="19"/>
  <c r="E30" i="19"/>
  <c r="E28" i="19"/>
  <c r="I30" i="19"/>
  <c r="I28" i="19" s="1"/>
  <c r="I81" i="19" s="1"/>
  <c r="J30" i="19"/>
  <c r="K30" i="19"/>
  <c r="L30" i="19"/>
  <c r="L28" i="19"/>
  <c r="L81" i="19"/>
  <c r="G31" i="19"/>
  <c r="H31" i="19"/>
  <c r="H30" i="19" s="1"/>
  <c r="H28" i="19" s="1"/>
  <c r="H81" i="19" s="1"/>
  <c r="S31" i="19"/>
  <c r="T31" i="19"/>
  <c r="T30" i="19" s="1"/>
  <c r="T28" i="19" s="1"/>
  <c r="U31" i="19"/>
  <c r="V31" i="19"/>
  <c r="G32" i="19"/>
  <c r="H32" i="19"/>
  <c r="M32" i="19"/>
  <c r="M30" i="19" s="1"/>
  <c r="N32" i="19"/>
  <c r="O32" i="19"/>
  <c r="O30" i="19"/>
  <c r="P32" i="19"/>
  <c r="R32" i="19"/>
  <c r="S32" i="19"/>
  <c r="T32" i="19"/>
  <c r="U32" i="19"/>
  <c r="V32" i="19"/>
  <c r="M33" i="19"/>
  <c r="N33" i="19"/>
  <c r="N30" i="19"/>
  <c r="N28" i="19" s="1"/>
  <c r="N81" i="19" s="1"/>
  <c r="O33" i="19"/>
  <c r="P33" i="19"/>
  <c r="P30" i="19"/>
  <c r="P28" i="19" s="1"/>
  <c r="S33" i="19"/>
  <c r="T33" i="19"/>
  <c r="V33" i="19"/>
  <c r="V30" i="19" s="1"/>
  <c r="V28" i="19" s="1"/>
  <c r="U33" i="19"/>
  <c r="U30" i="19" s="1"/>
  <c r="U28" i="19" s="1"/>
  <c r="F30" i="19"/>
  <c r="F28" i="19"/>
  <c r="D39" i="19"/>
  <c r="D83" i="19" s="1"/>
  <c r="E39" i="19"/>
  <c r="F39" i="19"/>
  <c r="F83" i="19" s="1"/>
  <c r="G39" i="19"/>
  <c r="H39" i="19"/>
  <c r="H83" i="19" s="1"/>
  <c r="M39" i="19"/>
  <c r="N39" i="19"/>
  <c r="O39" i="19"/>
  <c r="Q39" i="19"/>
  <c r="R39" i="19"/>
  <c r="S39" i="19"/>
  <c r="T39" i="19"/>
  <c r="D41" i="19"/>
  <c r="E41" i="19"/>
  <c r="F41" i="19"/>
  <c r="I41" i="19"/>
  <c r="I83" i="19"/>
  <c r="J41" i="19"/>
  <c r="J83" i="19"/>
  <c r="K41" i="19"/>
  <c r="K83" i="19" s="1"/>
  <c r="L41" i="19"/>
  <c r="L83" i="19"/>
  <c r="V41" i="19"/>
  <c r="G42" i="19"/>
  <c r="H42" i="19"/>
  <c r="M42" i="19"/>
  <c r="M41" i="19"/>
  <c r="N42" i="19"/>
  <c r="O42" i="19"/>
  <c r="G43" i="19"/>
  <c r="G41" i="19"/>
  <c r="G83" i="19"/>
  <c r="H43" i="19"/>
  <c r="H41" i="19" s="1"/>
  <c r="M43" i="19"/>
  <c r="N43" i="19"/>
  <c r="N41" i="19"/>
  <c r="N83" i="19" s="1"/>
  <c r="O43" i="19"/>
  <c r="O41" i="19"/>
  <c r="P43" i="19"/>
  <c r="P41" i="19" s="1"/>
  <c r="Q43" i="19"/>
  <c r="Q41" i="19" s="1"/>
  <c r="R43" i="19"/>
  <c r="R41" i="19"/>
  <c r="S43" i="19"/>
  <c r="S41" i="19"/>
  <c r="T43" i="19"/>
  <c r="T41" i="19"/>
  <c r="U43" i="19"/>
  <c r="U41" i="19" s="1"/>
  <c r="P44" i="19"/>
  <c r="D52" i="19"/>
  <c r="E52" i="19"/>
  <c r="E50" i="19" s="1"/>
  <c r="E77" i="19" s="1"/>
  <c r="F52" i="19"/>
  <c r="F79" i="19" s="1"/>
  <c r="G52" i="19"/>
  <c r="H52" i="19"/>
  <c r="M52" i="19"/>
  <c r="M50" i="19" s="1"/>
  <c r="M77" i="19" s="1"/>
  <c r="N52" i="19"/>
  <c r="N50" i="19" s="1"/>
  <c r="N77" i="19" s="1"/>
  <c r="O52" i="19"/>
  <c r="O50" i="19" s="1"/>
  <c r="O77" i="19" s="1"/>
  <c r="Q52" i="19"/>
  <c r="R52" i="19"/>
  <c r="S52" i="19"/>
  <c r="T52" i="19"/>
  <c r="T50" i="19"/>
  <c r="D54" i="19"/>
  <c r="D50" i="19" s="1"/>
  <c r="D77" i="19" s="1"/>
  <c r="E54" i="19"/>
  <c r="E81" i="19" s="1"/>
  <c r="F54" i="19"/>
  <c r="G54" i="19"/>
  <c r="G50" i="19" s="1"/>
  <c r="G77" i="19" s="1"/>
  <c r="H54" i="19"/>
  <c r="H50" i="19" s="1"/>
  <c r="H77" i="19" s="1"/>
  <c r="M54" i="19"/>
  <c r="N54" i="19"/>
  <c r="O54" i="19"/>
  <c r="Q54" i="19"/>
  <c r="Q50" i="19"/>
  <c r="R54" i="19"/>
  <c r="R50" i="19" s="1"/>
  <c r="S54" i="19"/>
  <c r="T54" i="19"/>
  <c r="I50" i="19"/>
  <c r="I77" i="19"/>
  <c r="J50" i="19"/>
  <c r="J77" i="19" s="1"/>
  <c r="K50" i="19"/>
  <c r="K77" i="19"/>
  <c r="V50" i="19"/>
  <c r="I75" i="19"/>
  <c r="J75" i="19"/>
  <c r="K75" i="19"/>
  <c r="J79" i="19"/>
  <c r="E60" i="3"/>
  <c r="F60" i="3"/>
  <c r="G60" i="3"/>
  <c r="H60" i="3"/>
  <c r="K60" i="3"/>
  <c r="M60" i="3"/>
  <c r="N60" i="3"/>
  <c r="O60" i="3"/>
  <c r="P60" i="3"/>
  <c r="Q60" i="3"/>
  <c r="S60" i="3"/>
  <c r="E51" i="3"/>
  <c r="F51" i="3"/>
  <c r="G51" i="3"/>
  <c r="H51" i="3"/>
  <c r="K51" i="3"/>
  <c r="M51" i="3"/>
  <c r="N51" i="3"/>
  <c r="O51" i="3"/>
  <c r="P51" i="3"/>
  <c r="Q51" i="3"/>
  <c r="A1" i="5"/>
  <c r="A69" i="22"/>
  <c r="A64" i="8" s="1"/>
  <c r="G30" i="19"/>
  <c r="L77" i="19"/>
  <c r="E83" i="19"/>
  <c r="P49" i="22"/>
  <c r="Q49" i="22"/>
  <c r="Q50" i="22" s="1"/>
  <c r="S50" i="19"/>
  <c r="K28" i="19"/>
  <c r="K81" i="19" s="1"/>
  <c r="K85" i="19" s="1"/>
  <c r="O83" i="19"/>
  <c r="S30" i="19"/>
  <c r="S28" i="19" s="1"/>
  <c r="F81" i="19"/>
  <c r="F50" i="19"/>
  <c r="F77" i="19" s="1"/>
  <c r="M83" i="19"/>
  <c r="H14" i="19"/>
  <c r="H79" i="19"/>
  <c r="O49" i="22"/>
  <c r="P50" i="22"/>
  <c r="X41" i="3"/>
  <c r="E41" i="3" l="1"/>
  <c r="K41" i="3"/>
  <c r="J23" i="44"/>
  <c r="K12" i="44"/>
  <c r="K14" i="44"/>
  <c r="K15" i="37"/>
  <c r="K12" i="37"/>
  <c r="I59" i="30"/>
  <c r="I49" i="30"/>
  <c r="I87" i="30"/>
  <c r="I70" i="30"/>
  <c r="I56" i="30"/>
  <c r="H12" i="31"/>
  <c r="F12" i="31"/>
  <c r="I12" i="31"/>
  <c r="E12" i="31"/>
  <c r="J12" i="31"/>
  <c r="G12" i="31"/>
  <c r="O14" i="19"/>
  <c r="O79" i="19" s="1"/>
  <c r="D28" i="39"/>
  <c r="D29" i="39"/>
  <c r="J85" i="19"/>
  <c r="M28" i="19"/>
  <c r="M81" i="19" s="1"/>
  <c r="I84" i="30"/>
  <c r="I66" i="30"/>
  <c r="J11" i="39"/>
  <c r="G27" i="39"/>
  <c r="G28" i="39" s="1"/>
  <c r="I28" i="30"/>
  <c r="I63" i="30"/>
  <c r="K15" i="44"/>
  <c r="K18" i="44"/>
  <c r="G34" i="29"/>
  <c r="E13" i="29"/>
  <c r="K14" i="37"/>
  <c r="H23" i="44"/>
  <c r="G23" i="44"/>
  <c r="E23" i="44"/>
  <c r="K16" i="37"/>
  <c r="J23" i="37"/>
  <c r="G23" i="37"/>
  <c r="E23" i="37"/>
  <c r="I23" i="37"/>
  <c r="F23" i="37"/>
  <c r="G15" i="29"/>
  <c r="G48" i="29"/>
  <c r="G17" i="29"/>
  <c r="F13" i="29"/>
  <c r="K19" i="44"/>
  <c r="K17" i="44"/>
  <c r="K16" i="44"/>
  <c r="K57" i="44"/>
  <c r="K13" i="44"/>
  <c r="D23" i="44"/>
  <c r="I91" i="30"/>
  <c r="K40" i="44"/>
  <c r="F23" i="44"/>
  <c r="K38" i="37"/>
  <c r="K13" i="37"/>
  <c r="K53" i="37"/>
  <c r="G16" i="29"/>
  <c r="G20" i="29"/>
  <c r="G15" i="36"/>
  <c r="G14" i="36"/>
  <c r="E17" i="36"/>
  <c r="G13" i="36"/>
  <c r="F17" i="36"/>
  <c r="G12" i="36"/>
  <c r="G16" i="36"/>
  <c r="G37" i="36"/>
  <c r="D17" i="36"/>
  <c r="G11" i="36"/>
  <c r="G41" i="29"/>
  <c r="G27" i="29"/>
  <c r="G55" i="29"/>
  <c r="G14" i="29"/>
  <c r="I35" i="30"/>
  <c r="K23" i="44" l="1"/>
  <c r="J27" i="39"/>
  <c r="J28" i="39" s="1"/>
  <c r="K23" i="37"/>
  <c r="G13" i="29"/>
  <c r="G17" i="36"/>
</calcChain>
</file>

<file path=xl/comments1.xml><?xml version="1.0" encoding="utf-8"?>
<comments xmlns="http://schemas.openxmlformats.org/spreadsheetml/2006/main">
  <authors>
    <author>theodore_eu</author>
  </authors>
  <commentList>
    <comment ref="R16" authorId="0">
      <text>
        <r>
          <rPr>
            <b/>
            <sz val="8"/>
            <color indexed="81"/>
            <rFont val="Tahoma"/>
            <family val="2"/>
          </rPr>
          <t>theodore_eu:</t>
        </r>
        <r>
          <rPr>
            <sz val="8"/>
            <color indexed="81"/>
            <rFont val="Tahoma"/>
            <family val="2"/>
          </rPr>
          <t xml:space="preserve">
This figure has changed because St Ignatius provided back data</t>
        </r>
      </text>
    </comment>
    <comment ref="S16" authorId="0">
      <text>
        <r>
          <rPr>
            <b/>
            <sz val="8"/>
            <color indexed="81"/>
            <rFont val="Tahoma"/>
            <family val="2"/>
          </rPr>
          <t>theodore_eu:</t>
        </r>
        <r>
          <rPr>
            <sz val="8"/>
            <color indexed="81"/>
            <rFont val="Tahoma"/>
            <family val="2"/>
          </rPr>
          <t xml:space="preserve">
This figure has Changed because St Ignatius provided back data</t>
        </r>
      </text>
    </comment>
    <comment ref="S24" authorId="0">
      <text>
        <r>
          <rPr>
            <b/>
            <sz val="8"/>
            <color indexed="81"/>
            <rFont val="Tahoma"/>
            <family val="2"/>
          </rPr>
          <t>theodore_eu:</t>
        </r>
        <r>
          <rPr>
            <sz val="8"/>
            <color indexed="81"/>
            <rFont val="Tahoma"/>
            <family val="2"/>
          </rPr>
          <t xml:space="preserve">
Sourced from SNA Questionnaire. The figure also represents Primary &amp; High School</t>
        </r>
      </text>
    </comment>
    <comment ref="S26" authorId="0">
      <text>
        <r>
          <rPr>
            <b/>
            <sz val="8"/>
            <color indexed="81"/>
            <rFont val="Tahoma"/>
            <family val="2"/>
          </rPr>
          <t>theodore_eu:</t>
        </r>
        <r>
          <rPr>
            <sz val="8"/>
            <color indexed="81"/>
            <rFont val="Tahoma"/>
            <family val="2"/>
          </rPr>
          <t xml:space="preserve">
sourced from SNA Questionnaire</t>
        </r>
      </text>
    </comment>
  </commentList>
</comments>
</file>

<file path=xl/sharedStrings.xml><?xml version="1.0" encoding="utf-8"?>
<sst xmlns="http://schemas.openxmlformats.org/spreadsheetml/2006/main" count="1361" uniqueCount="398">
  <si>
    <t>EDUCATION</t>
  </si>
  <si>
    <t xml:space="preserve"> </t>
  </si>
  <si>
    <t>Primary</t>
  </si>
  <si>
    <t>Secondary</t>
  </si>
  <si>
    <t>TOTAL</t>
  </si>
  <si>
    <t>Government</t>
  </si>
  <si>
    <t>Private</t>
  </si>
  <si>
    <t>All Schools</t>
  </si>
  <si>
    <t>Males</t>
  </si>
  <si>
    <t>Females</t>
  </si>
  <si>
    <t>SOURCE:  Education Department, Cayman Islands Government</t>
  </si>
  <si>
    <t>Students</t>
  </si>
  <si>
    <t>Teachers</t>
  </si>
  <si>
    <t>PRIVATE SCHOOLS</t>
  </si>
  <si>
    <t>(all year groups)</t>
  </si>
  <si>
    <t>Special Education</t>
  </si>
  <si>
    <t>Lighthouse School</t>
  </si>
  <si>
    <t>Grand Cayman</t>
  </si>
  <si>
    <t>Enrollment</t>
  </si>
  <si>
    <t>Cayman Brac</t>
  </si>
  <si>
    <t>Notes</t>
  </si>
  <si>
    <t>Tertiary Institutions</t>
  </si>
  <si>
    <t>Community College of The Cayman Islands</t>
  </si>
  <si>
    <t>International College of The Cayman Islands</t>
  </si>
  <si>
    <t>Cayman Islands Law School</t>
  </si>
  <si>
    <t>Total</t>
  </si>
  <si>
    <t>Male</t>
  </si>
  <si>
    <t>Female</t>
  </si>
  <si>
    <t>School Staff</t>
  </si>
  <si>
    <t>1996 (SSR)</t>
  </si>
  <si>
    <t>Recurrent</t>
  </si>
  <si>
    <t>Expenditure</t>
  </si>
  <si>
    <t>2.03c</t>
  </si>
  <si>
    <t>The International College of The Cayman Islands</t>
  </si>
  <si>
    <t xml:space="preserve">Males </t>
  </si>
  <si>
    <t>Associates Degree</t>
  </si>
  <si>
    <t>Business Studies</t>
  </si>
  <si>
    <t>Hospitality</t>
  </si>
  <si>
    <t>B.S.c.</t>
  </si>
  <si>
    <t>Other</t>
  </si>
  <si>
    <t>Masters</t>
  </si>
  <si>
    <t>MBA</t>
  </si>
  <si>
    <t>Science</t>
  </si>
  <si>
    <t>Full-time Certificate/Diploma courses</t>
  </si>
  <si>
    <t>Technology</t>
  </si>
  <si>
    <t>General Studies Department</t>
  </si>
  <si>
    <t>A-Levels</t>
  </si>
  <si>
    <t>Full-time</t>
  </si>
  <si>
    <t>Part-time</t>
  </si>
  <si>
    <t>Professional Development</t>
  </si>
  <si>
    <t>Accounting (AAT)</t>
  </si>
  <si>
    <t>Banking</t>
  </si>
  <si>
    <t>Insurance</t>
  </si>
  <si>
    <t>Administrative and Secretarial Practice</t>
  </si>
  <si>
    <t>Evening classes taken</t>
  </si>
  <si>
    <t>GCSE Repeaters (Full-time)</t>
  </si>
  <si>
    <t>…</t>
  </si>
  <si>
    <t>Caymanian</t>
  </si>
  <si>
    <t>Non-Caymanian</t>
  </si>
  <si>
    <t>Graduates</t>
  </si>
  <si>
    <t>Honours Degree</t>
  </si>
  <si>
    <t>Diploma Programme</t>
  </si>
  <si>
    <t>Professional Practice</t>
  </si>
  <si>
    <t>Total Staff</t>
  </si>
  <si>
    <t>Examination Results</t>
  </si>
  <si>
    <t>GCE A-Level</t>
  </si>
  <si>
    <t>Entries</t>
  </si>
  <si>
    <t>Passes</t>
  </si>
  <si>
    <t>(Percent)</t>
  </si>
  <si>
    <t>GCE OA and O Level</t>
  </si>
  <si>
    <t>Higher level Passes</t>
  </si>
  <si>
    <t>All Passes</t>
  </si>
  <si>
    <t>GCSE/CXC General &amp; Technical</t>
  </si>
  <si>
    <t>CE/CSE/CXC Basic</t>
  </si>
  <si>
    <t>All Exams</t>
  </si>
  <si>
    <t>All higher level passes</t>
  </si>
  <si>
    <t>All passes</t>
  </si>
  <si>
    <t>All Cayman Islands High Schools</t>
  </si>
  <si>
    <t>There was no graduating class in 1995, examinations were taken by repeat students only.</t>
  </si>
  <si>
    <t>-</t>
  </si>
  <si>
    <t>Wesleyan</t>
  </si>
  <si>
    <t>Truth for Youth</t>
  </si>
  <si>
    <t>Triple C</t>
  </si>
  <si>
    <t>First Baptist</t>
  </si>
  <si>
    <t>I.C.C.I.</t>
  </si>
  <si>
    <t>Law School</t>
  </si>
  <si>
    <t>Humanities</t>
  </si>
  <si>
    <t>Education</t>
  </si>
  <si>
    <t>Social &amp; Business Studies</t>
  </si>
  <si>
    <t>Professional</t>
  </si>
  <si>
    <t>Engineering, Technology &amp; Science</t>
  </si>
  <si>
    <t>Medicine &amp; Veterinary Studies</t>
  </si>
  <si>
    <t>All Students</t>
  </si>
  <si>
    <t>New scholarships granted in year</t>
  </si>
  <si>
    <t>Adult</t>
  </si>
  <si>
    <t>St. Ignatius</t>
  </si>
  <si>
    <t>Cayman Academy</t>
  </si>
  <si>
    <t xml:space="preserve">Applied Management Practice </t>
  </si>
  <si>
    <r>
      <t>A+ Computer Technician</t>
    </r>
    <r>
      <rPr>
        <vertAlign val="superscript"/>
        <sz val="10"/>
        <rFont val="Arial"/>
        <family val="2"/>
      </rPr>
      <t xml:space="preserve"> </t>
    </r>
  </si>
  <si>
    <t>Extension Services</t>
  </si>
  <si>
    <t>Source:  Community College of the Cayman Islands</t>
  </si>
  <si>
    <t>General Student</t>
  </si>
  <si>
    <t xml:space="preserve">Enrolment </t>
  </si>
  <si>
    <t>Microsoft Certified System Administrator</t>
  </si>
  <si>
    <t>Community College</t>
  </si>
  <si>
    <t>2.04a</t>
  </si>
  <si>
    <t xml:space="preserve">Network </t>
  </si>
  <si>
    <t xml:space="preserve">Security </t>
  </si>
  <si>
    <t>Renamed University College of the Cayman Islands in 2005.</t>
  </si>
  <si>
    <t>Due to low enrolment and insufficient funds this course was not offered in 1999 - 2002.</t>
  </si>
  <si>
    <t>..</t>
  </si>
  <si>
    <t xml:space="preserve"> - </t>
  </si>
  <si>
    <t xml:space="preserve">. . </t>
  </si>
  <si>
    <t>STATISTICAL COMPENDIUM 2007</t>
  </si>
  <si>
    <t>. .</t>
  </si>
  <si>
    <t>.  .</t>
  </si>
  <si>
    <t>Cayman Prep &amp; High School</t>
  </si>
  <si>
    <t>Primary Yr 6</t>
  </si>
  <si>
    <t>Middle Yr 9</t>
  </si>
  <si>
    <t>High School Yr 12</t>
  </si>
  <si>
    <t xml:space="preserve">MCSE Microsoft Certified Comp. Engineer </t>
  </si>
  <si>
    <r>
      <t>Nursing</t>
    </r>
    <r>
      <rPr>
        <vertAlign val="superscript"/>
        <sz val="10"/>
        <rFont val="Arial"/>
        <family val="2"/>
      </rPr>
      <t>2</t>
    </r>
    <r>
      <rPr>
        <sz val="10"/>
        <rFont val="Arial"/>
        <family val="2"/>
      </rPr>
      <t xml:space="preserve"> </t>
    </r>
  </si>
  <si>
    <t>Colleges</t>
  </si>
  <si>
    <t>Note:</t>
  </si>
  <si>
    <t>Notes:</t>
  </si>
  <si>
    <t>Associate Degree</t>
  </si>
  <si>
    <t>Accounting Technician</t>
  </si>
  <si>
    <t>Computer Technician</t>
  </si>
  <si>
    <t xml:space="preserve">Computer Application </t>
  </si>
  <si>
    <t>Electro-Technolgy</t>
  </si>
  <si>
    <t>Certificate in Management Practice</t>
  </si>
  <si>
    <t>Cayman Banking Certificate</t>
  </si>
  <si>
    <t>Legal Secretarial Programme</t>
  </si>
  <si>
    <t>Certificate in Offshore Administration</t>
  </si>
  <si>
    <t>Academic Programme</t>
  </si>
  <si>
    <t>Bachelors Degree</t>
  </si>
  <si>
    <t>Full Time</t>
  </si>
  <si>
    <t>Part Time</t>
  </si>
  <si>
    <t>Construction Technology</t>
  </si>
  <si>
    <t xml:space="preserve">Financial Services Certificate </t>
  </si>
  <si>
    <t>Professional Programme - all students are part time</t>
  </si>
  <si>
    <r>
      <t>Enrollment in Tertiary Institutions: Community College of the Cayman Islands,</t>
    </r>
    <r>
      <rPr>
        <vertAlign val="superscript"/>
        <sz val="12"/>
        <rFont val="Arial"/>
        <family val="2"/>
      </rPr>
      <t>1</t>
    </r>
    <r>
      <rPr>
        <b/>
        <vertAlign val="superscript"/>
        <sz val="12"/>
        <rFont val="Arial"/>
        <family val="2"/>
      </rPr>
      <t xml:space="preserve"> </t>
    </r>
    <r>
      <rPr>
        <b/>
        <sz val="12"/>
        <rFont val="Arial"/>
        <family val="2"/>
      </rPr>
      <t>1991 -  2003</t>
    </r>
  </si>
  <si>
    <t>of which:</t>
  </si>
  <si>
    <t>Percentage Chance</t>
  </si>
  <si>
    <t>(CI$000)</t>
  </si>
  <si>
    <t>Not Stated</t>
  </si>
  <si>
    <t>0</t>
  </si>
  <si>
    <t>Diploma</t>
  </si>
  <si>
    <t>Professional Computer Courses</t>
  </si>
  <si>
    <t xml:space="preserve">. .  </t>
  </si>
  <si>
    <t xml:space="preserve">Executive </t>
  </si>
  <si>
    <t>Educational programme</t>
  </si>
  <si>
    <t>Educational Attainment</t>
  </si>
  <si>
    <t>Enrolment</t>
  </si>
  <si>
    <t>Pre-primary</t>
  </si>
  <si>
    <t>Vocational</t>
  </si>
  <si>
    <t>College/University, short</t>
  </si>
  <si>
    <t>University, first stage, long</t>
  </si>
  <si>
    <t>University, post-graduate</t>
  </si>
  <si>
    <t xml:space="preserve">5B </t>
  </si>
  <si>
    <t xml:space="preserve">5A </t>
  </si>
  <si>
    <t>Primary Yr 1-5</t>
  </si>
  <si>
    <t>Middle Yr 7-8</t>
  </si>
  <si>
    <t>High School Yr 10-11</t>
  </si>
  <si>
    <t>The Executive programme was introduced in 2008.</t>
  </si>
  <si>
    <t>213</t>
  </si>
  <si>
    <t>The world’s education systems differ considerably, both with respect to their structures and to their curriculum contents. As a consequence, it is often difficult for national educational policy makers to compare their own education systems with those of other countries.</t>
  </si>
  <si>
    <t>UNESCO has for a long time been concerned with the design of an International Standard Classification of Education that would facilitate comparisons of education statistics and indicators of different countries on the basis of uniform and internationally agreed definitions. The present version, known as ISCED97 was formally adopted in November 1997.</t>
  </si>
  <si>
    <t>Guidelines to ISCED97 can be downloaded from the UNESCO Institute for Statistics website;   www.uis.unesco.org.  The table below is a template on how to classify educational programmes in the Cayman Islands by ISCED levels, which starts at the lowest level (0) for pre-primary.</t>
  </si>
  <si>
    <t>In addition to levels of education ISCED97 contains a classification of education programmes in the  Fields of Education. Eurostat (the statistical office of the European Union) has published a more  detailed manual on Fields of Education and Training.</t>
  </si>
  <si>
    <t>External</t>
  </si>
  <si>
    <t>Ordinary Degree</t>
  </si>
  <si>
    <t>Staff</t>
  </si>
  <si>
    <t>Bachelors</t>
  </si>
  <si>
    <t>admission criteria.</t>
  </si>
  <si>
    <t xml:space="preserve">Certificate Programme - all students are full time. During 2007 admission was unusally  high due to lowering of the </t>
  </si>
  <si>
    <t>UCCI</t>
  </si>
  <si>
    <t>George Town</t>
  </si>
  <si>
    <t>West Bay</t>
  </si>
  <si>
    <t>Bodden Town</t>
  </si>
  <si>
    <t>North Side</t>
  </si>
  <si>
    <t>East End</t>
  </si>
  <si>
    <t>Circulation Statistics</t>
  </si>
  <si>
    <t>Check Ins</t>
  </si>
  <si>
    <t>Check Outs</t>
  </si>
  <si>
    <r>
      <t>Certificate Programme</t>
    </r>
    <r>
      <rPr>
        <b/>
        <vertAlign val="superscript"/>
        <sz val="10"/>
        <rFont val="Arial"/>
        <family val="2"/>
      </rPr>
      <t>1</t>
    </r>
  </si>
  <si>
    <r>
      <t>Professional Programme</t>
    </r>
    <r>
      <rPr>
        <b/>
        <vertAlign val="superscript"/>
        <sz val="10"/>
        <rFont val="Arial"/>
        <family val="2"/>
      </rPr>
      <t>2</t>
    </r>
  </si>
  <si>
    <r>
      <t>Executive Programme</t>
    </r>
    <r>
      <rPr>
        <b/>
        <vertAlign val="superscript"/>
        <sz val="10"/>
        <rFont val="Arial"/>
        <family val="2"/>
      </rPr>
      <t>3</t>
    </r>
  </si>
  <si>
    <r>
      <t>Continuing Education</t>
    </r>
    <r>
      <rPr>
        <b/>
        <vertAlign val="superscript"/>
        <sz val="10"/>
        <rFont val="Arial"/>
        <family val="2"/>
      </rPr>
      <t>4</t>
    </r>
  </si>
  <si>
    <t>STR</t>
  </si>
  <si>
    <t>Course:</t>
  </si>
  <si>
    <t>Status:</t>
  </si>
  <si>
    <t>Sex:</t>
  </si>
  <si>
    <t>Continuing education includes leisure courses with no matriculation requirements and do not lead to a degree, only for leisure or vocational purposes.</t>
  </si>
  <si>
    <t>Leisure courses which were  part of the continuing programme were discontinued.</t>
  </si>
  <si>
    <t>STATISTICAL COMPENDIUM 2011</t>
  </si>
  <si>
    <t>ISCED level 6 means “leading to an advanced research qualification”, that is earned Doctorate (Ph. D.).  Hence, “Masters” should be classified as 5A and not at level 6. ISCED level 5A contains educational programmes at university normally of the length of 3 – 5 years, sometimes longer. Hence, Bachelor, Masters and first professional (law, dentistry, medicine, veterinary) degree programs are all classified as 5A.</t>
  </si>
  <si>
    <t xml:space="preserve">Note: </t>
  </si>
  <si>
    <r>
      <rPr>
        <b/>
        <sz val="10"/>
        <rFont val="Arial"/>
        <family val="2"/>
      </rPr>
      <t xml:space="preserve">Source: </t>
    </r>
    <r>
      <rPr>
        <sz val="10"/>
        <rFont val="Arial"/>
        <family val="2"/>
      </rPr>
      <t>Public Library</t>
    </r>
  </si>
  <si>
    <r>
      <rPr>
        <b/>
        <sz val="10"/>
        <rFont val="Arial"/>
        <family val="2"/>
      </rPr>
      <t>Source:</t>
    </r>
    <r>
      <rPr>
        <sz val="10"/>
        <rFont val="Arial"/>
        <family val="2"/>
      </rPr>
      <t xml:space="preserve">  Cayman Islands Law School</t>
    </r>
  </si>
  <si>
    <r>
      <rPr>
        <b/>
        <sz val="10"/>
        <rFont val="Arial"/>
        <family val="2"/>
      </rPr>
      <t>Source:</t>
    </r>
    <r>
      <rPr>
        <sz val="10"/>
        <rFont val="Arial"/>
        <family val="2"/>
      </rPr>
      <t xml:space="preserve">  University College of the Cayman Islands</t>
    </r>
  </si>
  <si>
    <t>Special Education All Levels</t>
  </si>
  <si>
    <t>Circulation refers to the number of books used</t>
  </si>
  <si>
    <t>2011*</t>
  </si>
  <si>
    <t>Teacher's Aide</t>
  </si>
  <si>
    <t>* 2011 data are only for Jan-May 2011</t>
  </si>
  <si>
    <r>
      <t>Number of Settings Delivering Early Childhood Care and Education (ECCE)</t>
    </r>
    <r>
      <rPr>
        <b/>
        <vertAlign val="superscript"/>
        <sz val="10"/>
        <rFont val="Arial"/>
        <family val="2"/>
      </rPr>
      <t>1</t>
    </r>
  </si>
  <si>
    <t>ECCE Private Centres</t>
  </si>
  <si>
    <t>ECCE Settings in Private schools</t>
  </si>
  <si>
    <t>ECCE Settings in Public schools</t>
  </si>
  <si>
    <t>Starting in 2011 there was a change in the classifications of Pre-school and Day-Care centres to more accurately reflect the services they provided. As a consequence there was an increase in Pre-school/Day care Centres</t>
  </si>
  <si>
    <t>Source: Department of Education Services</t>
  </si>
  <si>
    <t>School -based Specialist Teachers</t>
  </si>
  <si>
    <t>Support Specialists</t>
  </si>
  <si>
    <t>National Results</t>
  </si>
  <si>
    <t>Percentage Cohort Performance at Attainment Thresholds</t>
  </si>
  <si>
    <t>%7+ Level 2 Passes</t>
  </si>
  <si>
    <t>%5+ Level 2 Passes</t>
  </si>
  <si>
    <t>%5+ Level 1 Passes</t>
  </si>
  <si>
    <t>%1+ Level 1 Pass</t>
  </si>
  <si>
    <t>%Level 2 English</t>
  </si>
  <si>
    <t>%Level 2 Mathematics</t>
  </si>
  <si>
    <t>District</t>
  </si>
  <si>
    <t>All Districts</t>
  </si>
  <si>
    <t>Sister Islands</t>
  </si>
  <si>
    <r>
      <t>Recept.</t>
    </r>
    <r>
      <rPr>
        <b/>
        <vertAlign val="superscript"/>
        <sz val="10"/>
        <rFont val="Arial"/>
        <family val="2"/>
      </rPr>
      <t>1</t>
    </r>
  </si>
  <si>
    <t>Schools</t>
  </si>
  <si>
    <t>1. Schools may cater for both Primary and Secondary age students so the number for 'Total schools' may not equal the sum of Primary and Secondary Schools</t>
  </si>
  <si>
    <t>%5+ Level 2 (including English and Math)</t>
  </si>
  <si>
    <t>International Standard Classification of Education (ISCED)</t>
  </si>
  <si>
    <r>
      <rPr>
        <b/>
        <sz val="10"/>
        <rFont val="Arial"/>
        <family val="2"/>
      </rPr>
      <t>Source:</t>
    </r>
    <r>
      <rPr>
        <sz val="10"/>
        <rFont val="Arial"/>
        <family val="2"/>
      </rPr>
      <t xml:space="preserve"> Department of Education, schools and colleges</t>
    </r>
  </si>
  <si>
    <t>3.02a</t>
  </si>
  <si>
    <t>STATISTICAL COMPENDIUM 2012</t>
  </si>
  <si>
    <t>3.02b</t>
  </si>
  <si>
    <t>3.06a</t>
  </si>
  <si>
    <t>3.06b</t>
  </si>
  <si>
    <t>Enrolment in Tertiary Institutions: The Cayman Islands Law School, 2007 - 2012</t>
  </si>
  <si>
    <t>Enrolment in Tertiary Institutions: University College of the Cayman Islands, 2007 - 2012</t>
  </si>
  <si>
    <t>Recurrent Expenditures on Education by Type of School, 2007 -  2012</t>
  </si>
  <si>
    <t>Grand Cayman Government High Schools (John Gray/Clifton Hunter)</t>
  </si>
  <si>
    <t>Cayman Brac High Schools (Layman Scott High School)</t>
  </si>
  <si>
    <t>Hope</t>
  </si>
  <si>
    <t>Cayman International School</t>
  </si>
  <si>
    <t>Grace Christian Academy</t>
  </si>
  <si>
    <t>CIFEC</t>
  </si>
  <si>
    <r>
      <t>Secondary</t>
    </r>
    <r>
      <rPr>
        <b/>
        <vertAlign val="superscript"/>
        <sz val="10"/>
        <rFont val="Arial"/>
        <family val="2"/>
      </rPr>
      <t>2</t>
    </r>
  </si>
  <si>
    <t>2. There are no Secondary Schools in the districts of East End and Bodden Town</t>
  </si>
  <si>
    <t>Includes middle school numbers</t>
  </si>
  <si>
    <t>All results are expressed as a percentage of the total cohort size and not just those students entered for the exam</t>
  </si>
  <si>
    <t>Ratio (F:M)</t>
  </si>
  <si>
    <t>3.01b</t>
  </si>
  <si>
    <t>Total ECCE Settings</t>
  </si>
  <si>
    <t xml:space="preserve">Age </t>
  </si>
  <si>
    <t>3 years</t>
  </si>
  <si>
    <t>4 years</t>
  </si>
  <si>
    <t>3.01a</t>
  </si>
  <si>
    <t>&gt;4 years</t>
  </si>
  <si>
    <t>2 years</t>
  </si>
  <si>
    <t>1 years</t>
  </si>
  <si>
    <t>&lt;1 years</t>
  </si>
  <si>
    <t>ECCE in Govt Schools</t>
  </si>
  <si>
    <t>ECCE in Private Schools</t>
  </si>
  <si>
    <t>ECCE Centres</t>
  </si>
  <si>
    <t>Cayman Islands Total</t>
  </si>
  <si>
    <t>3.01c</t>
  </si>
  <si>
    <t>Enrolment by District and Gender, 2012</t>
  </si>
  <si>
    <r>
      <t>Secondary</t>
    </r>
    <r>
      <rPr>
        <b/>
        <vertAlign val="superscript"/>
        <sz val="10"/>
        <color indexed="8"/>
        <rFont val="Arial"/>
        <family val="2"/>
      </rPr>
      <t>2</t>
    </r>
  </si>
  <si>
    <r>
      <t>Total schools</t>
    </r>
    <r>
      <rPr>
        <vertAlign val="superscript"/>
        <sz val="10"/>
        <color indexed="8"/>
        <rFont val="Arial"/>
        <family val="2"/>
      </rPr>
      <t>1</t>
    </r>
  </si>
  <si>
    <r>
      <t>Cohort</t>
    </r>
    <r>
      <rPr>
        <vertAlign val="superscript"/>
        <sz val="10"/>
        <color indexed="8"/>
        <rFont val="Arial"/>
        <family val="2"/>
      </rPr>
      <t>1</t>
    </r>
    <r>
      <rPr>
        <sz val="10"/>
        <color indexed="8"/>
        <rFont val="Arial"/>
        <family val="2"/>
      </rPr>
      <t xml:space="preserve"> Size</t>
    </r>
  </si>
  <si>
    <t>Age</t>
  </si>
  <si>
    <t>Year 7</t>
  </si>
  <si>
    <t>Year 8</t>
  </si>
  <si>
    <t>Year 9</t>
  </si>
  <si>
    <t>Year 10</t>
  </si>
  <si>
    <t>Year 11</t>
  </si>
  <si>
    <t>Year 12</t>
  </si>
  <si>
    <t>Year 13</t>
  </si>
  <si>
    <t>As of September</t>
  </si>
  <si>
    <t>From 2011, Lighthouse School Data included in school data.</t>
  </si>
  <si>
    <t>In house Use</t>
  </si>
  <si>
    <t>Library Card  Holders</t>
  </si>
  <si>
    <t>Library</t>
  </si>
  <si>
    <t>CYA</t>
  </si>
  <si>
    <t>Members</t>
  </si>
  <si>
    <t>Adult Resident Library Card Holders</t>
  </si>
  <si>
    <t>Adult Non Resident Library Card Holders</t>
  </si>
  <si>
    <t>CYA Resident Library Card Holders</t>
  </si>
  <si>
    <t>CYA Non Resident Library Card Holders</t>
  </si>
  <si>
    <t>Institutional Card Holders</t>
  </si>
  <si>
    <t>Senior Resident Card Holders</t>
  </si>
  <si>
    <t>Homebound Resident Library Card Holders</t>
  </si>
  <si>
    <t>Total Card Holders</t>
  </si>
  <si>
    <t xml:space="preserve">Total Library Use Per Hour </t>
  </si>
  <si>
    <t xml:space="preserve">Library  </t>
  </si>
  <si>
    <t>Total/Hour</t>
  </si>
  <si>
    <t>10:00 - 11:00 AM</t>
  </si>
  <si>
    <t>11:00 - 12:00 PM</t>
  </si>
  <si>
    <t>12:00 - 1:00 PM</t>
  </si>
  <si>
    <t>1:00 - 2:00 PM</t>
  </si>
  <si>
    <t>2:00 -3:00 PM</t>
  </si>
  <si>
    <t>3:00 - 4:00 PM</t>
  </si>
  <si>
    <t>4:00 - 5:00 PM</t>
  </si>
  <si>
    <t>5:00 - 6:00 PM</t>
  </si>
  <si>
    <t>Saturday</t>
  </si>
  <si>
    <t>c</t>
  </si>
  <si>
    <t>Total Use by Branch</t>
  </si>
  <si>
    <t>Total Use Per Week</t>
  </si>
  <si>
    <t>Total Library Use 2012</t>
  </si>
  <si>
    <t>Library Visitors 2012</t>
  </si>
  <si>
    <t>IMI Auto Mechanics</t>
  </si>
  <si>
    <t>In addition to levels of education ISCED97 contains a classification of education programmes in the Fields of Education. Eurostat (the statistical office of the European Union) has published a more detailed manual on Fields of Education and Training.</t>
  </si>
  <si>
    <r>
      <t xml:space="preserve">Source: </t>
    </r>
    <r>
      <rPr>
        <sz val="10"/>
        <rFont val="Arial"/>
        <family val="2"/>
      </rPr>
      <t>Department of Education Services</t>
    </r>
  </si>
  <si>
    <t>From 2011, reception students included in Table 3.01a Early Childhood Care and Education</t>
  </si>
  <si>
    <r>
      <rPr>
        <b/>
        <sz val="10"/>
        <rFont val="Arial"/>
        <family val="2"/>
      </rPr>
      <t>Source:</t>
    </r>
    <r>
      <rPr>
        <sz val="10"/>
        <rFont val="Arial"/>
        <family val="2"/>
      </rPr>
      <t xml:space="preserve">  Department of Education Services &amp; Private Schools</t>
    </r>
  </si>
  <si>
    <t>Cohort refers to all students that were on roll on 1st January of that examination year</t>
  </si>
  <si>
    <r>
      <rPr>
        <b/>
        <sz val="10"/>
        <rFont val="Arial"/>
        <family val="2"/>
      </rPr>
      <t>Source:</t>
    </r>
    <r>
      <rPr>
        <sz val="10"/>
        <rFont val="Arial"/>
        <family val="2"/>
      </rPr>
      <t xml:space="preserve"> Department of Education Services</t>
    </r>
  </si>
  <si>
    <r>
      <t xml:space="preserve">Source: </t>
    </r>
    <r>
      <rPr>
        <sz val="10"/>
        <rFont val="Arial"/>
        <family val="2"/>
      </rPr>
      <t>Scholarship Secratariat</t>
    </r>
  </si>
  <si>
    <r>
      <rPr>
        <b/>
        <sz val="10"/>
        <rFont val="Arial"/>
        <family val="2"/>
      </rPr>
      <t xml:space="preserve">Source: </t>
    </r>
    <r>
      <rPr>
        <sz val="10"/>
        <rFont val="Arial"/>
        <family val="2"/>
      </rPr>
      <t xml:space="preserve"> Public Library</t>
    </r>
  </si>
  <si>
    <r>
      <rPr>
        <b/>
        <sz val="10"/>
        <rFont val="Arial"/>
        <family val="2"/>
      </rPr>
      <t>Source:</t>
    </r>
    <r>
      <rPr>
        <sz val="10"/>
        <rFont val="Arial"/>
        <family val="2"/>
      </rPr>
      <t xml:space="preserve"> Department of Education Services &amp; Private Centres delivering Early Childhood Care &amp; Education</t>
    </r>
  </si>
  <si>
    <t>Average No. of Entries for Students</t>
  </si>
  <si>
    <t>3.07a</t>
  </si>
  <si>
    <t>3.07b</t>
  </si>
  <si>
    <t>3.07c</t>
  </si>
  <si>
    <t>Library Card Holders and Members</t>
  </si>
  <si>
    <t>STATISTICAL COMPENDIUM 2013</t>
  </si>
  <si>
    <t>Circulation Statistics of the Public Libraries, 2010 - 2013</t>
  </si>
  <si>
    <t>Grade 6</t>
  </si>
  <si>
    <t xml:space="preserve">                                                                                            </t>
  </si>
  <si>
    <t>Teachers (Head Count)</t>
  </si>
  <si>
    <t>Teachers (Full Time Equivalent (FTE))</t>
  </si>
  <si>
    <t>STR (Head Count)</t>
  </si>
  <si>
    <t>STR (FTE)</t>
  </si>
  <si>
    <t>SEN Students per Special Education Specialist</t>
  </si>
  <si>
    <t>Government School Special Educational Needs (SEN)</t>
  </si>
  <si>
    <t>Student Teacher Ratio (STR) (Head Count)</t>
  </si>
  <si>
    <t>Note: Schools following the UK system have year groups from Year 1 to Year 6 whereas in schools following the US system the equivalent year groups are Kindergarten (K) and Grade 1 to Grade 6.</t>
  </si>
  <si>
    <t>Grade 1/ Year 2</t>
  </si>
  <si>
    <t>Grade 2/ Year 3</t>
  </si>
  <si>
    <t>Grade 3/ Year 4</t>
  </si>
  <si>
    <t>Grade 4/ Year 5</t>
  </si>
  <si>
    <t>Grade 5/ Year 6</t>
  </si>
  <si>
    <t>K'garten/ Year 1</t>
  </si>
  <si>
    <t>Table 3.02c: Government &amp; Private Primary School Enrolment by Age, Grade and Gender</t>
  </si>
  <si>
    <t>Table 3.02d: Government &amp; Private Secondary School Enrolment by Age, Grade and Gender</t>
  </si>
  <si>
    <r>
      <t xml:space="preserve">2004 </t>
    </r>
    <r>
      <rPr>
        <b/>
        <vertAlign val="superscript"/>
        <sz val="10"/>
        <rFont val="Calibri"/>
        <family val="2"/>
      </rPr>
      <t>1</t>
    </r>
  </si>
  <si>
    <r>
      <rPr>
        <b/>
        <sz val="10"/>
        <rFont val="Calibri"/>
        <family val="2"/>
      </rPr>
      <t>Source:</t>
    </r>
    <r>
      <rPr>
        <sz val="10"/>
        <rFont val="Calibri"/>
        <family val="2"/>
      </rPr>
      <t xml:space="preserve">  Department of Education Service &amp; Private Schools</t>
    </r>
  </si>
  <si>
    <t>Please note the full time equivalent (FTE) staffing (included in the table from 2013) only includes classroom based staff for the proportion of their time spent teaching in the classroom.</t>
  </si>
  <si>
    <r>
      <t>Pre-College</t>
    </r>
    <r>
      <rPr>
        <b/>
        <vertAlign val="superscript"/>
        <sz val="10"/>
        <rFont val="Arial"/>
        <family val="2"/>
      </rPr>
      <t>5</t>
    </r>
  </si>
  <si>
    <t>ALL SCHOOLS (excluding Lighthouse School)</t>
  </si>
  <si>
    <t>GOVERNMENT SCHOOLS</t>
  </si>
  <si>
    <r>
      <t>Teachers (Full Time Equivalent (FTE))</t>
    </r>
    <r>
      <rPr>
        <vertAlign val="superscript"/>
        <sz val="10"/>
        <rFont val="Calibri"/>
        <family val="2"/>
      </rPr>
      <t>1</t>
    </r>
  </si>
  <si>
    <t>8:30AM - 10:00AM</t>
  </si>
  <si>
    <t>6:00-7:30PM</t>
  </si>
  <si>
    <t>Total Library Use 2014</t>
  </si>
  <si>
    <r>
      <rPr>
        <b/>
        <sz val="11"/>
        <color indexed="8"/>
        <rFont val="Arial"/>
        <family val="2"/>
      </rPr>
      <t>Source:</t>
    </r>
    <r>
      <rPr>
        <sz val="11"/>
        <color indexed="8"/>
        <rFont val="Arial"/>
        <family val="2"/>
      </rPr>
      <t xml:space="preserve"> Department of Education Services</t>
    </r>
  </si>
  <si>
    <t>STATISTICAL COMPENDIUM 2016</t>
  </si>
  <si>
    <t>Lighthouse School not included in 2008 and 2009</t>
  </si>
  <si>
    <r>
      <rPr>
        <b/>
        <sz val="10"/>
        <color indexed="8"/>
        <rFont val="Arial"/>
        <family val="2"/>
      </rPr>
      <t>Source:</t>
    </r>
    <r>
      <rPr>
        <sz val="10"/>
        <color indexed="8"/>
        <rFont val="Arial"/>
        <family val="2"/>
      </rPr>
      <t xml:space="preserve"> Department of Education Services</t>
    </r>
  </si>
  <si>
    <t>Average No. Of Entries/ student</t>
  </si>
  <si>
    <t>Academic criteria was changed from measuring the number of passes to measuring the number of unique subjects achieved</t>
  </si>
  <si>
    <t>The Clifton Hunter High School was added for 2012</t>
  </si>
  <si>
    <t>2:00 - 3:00PM</t>
  </si>
  <si>
    <t>`</t>
  </si>
  <si>
    <t>Early Childhood Care and Education Enrolment and Staffing 2011-2019</t>
  </si>
  <si>
    <t>Early Childhood Care and Education (ECCE) Statistics, 2014-2019</t>
  </si>
  <si>
    <t>Enrolment by Age and Gender, 2019</t>
  </si>
  <si>
    <t>STATISTICAL COMPENDIUM 2019</t>
  </si>
  <si>
    <t>Enrolment by Sector, Level of School, District and Gender, 2019</t>
  </si>
  <si>
    <t>Compulsory Schooling Statistics, 2019</t>
  </si>
  <si>
    <t>Student Teacher Ratios (STR), 2011 -  2019</t>
  </si>
  <si>
    <t>Compulsory Schooling Statistics, 2011-2019</t>
  </si>
  <si>
    <t>Examination Results, Government High Schools 2012-2019</t>
  </si>
  <si>
    <t>Early Childhood Care and Education (ECCE) Statistics, 2019</t>
  </si>
  <si>
    <t>Enrolment by Sector, Type of School and Gender, 2011-2019</t>
  </si>
  <si>
    <t>COMPENDIUM OF STATISTICS 2019</t>
  </si>
  <si>
    <t>Enrolment in Tertiary Institutions: University College of the Cayman Islands, 2011 - 2019</t>
  </si>
  <si>
    <r>
      <t>Accounting/General Business</t>
    </r>
    <r>
      <rPr>
        <vertAlign val="superscript"/>
        <sz val="10"/>
        <rFont val="Arial"/>
        <family val="2"/>
      </rPr>
      <t>2</t>
    </r>
  </si>
  <si>
    <t>Electro-Technology</t>
  </si>
  <si>
    <t>Social Work</t>
  </si>
  <si>
    <r>
      <t>Professional Programme</t>
    </r>
    <r>
      <rPr>
        <b/>
        <vertAlign val="superscript"/>
        <sz val="10"/>
        <rFont val="Arial"/>
        <family val="2"/>
      </rPr>
      <t>3</t>
    </r>
  </si>
  <si>
    <t>Specialised Contract Courses</t>
  </si>
  <si>
    <t>Executive Programme</t>
  </si>
  <si>
    <r>
      <t>Continuing Education/TVET</t>
    </r>
    <r>
      <rPr>
        <b/>
        <vertAlign val="superscript"/>
        <sz val="10"/>
        <rFont val="Arial"/>
        <family val="2"/>
      </rPr>
      <t>4</t>
    </r>
  </si>
  <si>
    <t>Certificate Programme - all students are full time.</t>
  </si>
  <si>
    <t>General Business Certificate introduced in 2018 to replace Accounting Certificate.</t>
  </si>
  <si>
    <t>Professional Programme - all students are part time. Will include specialised contract courses in 2019.</t>
  </si>
  <si>
    <t>Continuing Education/TVET includes leisure, remedial and vocational courses with no matriculation requirements and do not lead to a degree. As of 2019, some technical/vocational programmes will lead to certifications.</t>
  </si>
  <si>
    <t>Pre-College - new category introduced in 2013.</t>
  </si>
  <si>
    <t>Enrolment recorded for the Compendium is based on the Fall semester of each academic year.</t>
  </si>
  <si>
    <t>Students Studying Higher Education Overseas on Education Council Scholarships, 2011-2019</t>
  </si>
  <si>
    <t>Circulation refers to the number of books checked in, checked out or renewed.</t>
  </si>
  <si>
    <r>
      <t xml:space="preserve">Renewed books also appear in the </t>
    </r>
    <r>
      <rPr>
        <b/>
        <sz val="10"/>
        <rFont val="Arial"/>
        <family val="2"/>
      </rPr>
      <t>Check Outs</t>
    </r>
    <r>
      <rPr>
        <sz val="10"/>
        <rFont val="Arial"/>
        <family val="2"/>
      </rPr>
      <t xml:space="preserve"> column.</t>
    </r>
  </si>
  <si>
    <t>Circulation Statistics of the Public Libraries, 2016 - 2019</t>
  </si>
  <si>
    <t>Library Visitors 2019</t>
  </si>
  <si>
    <t>Total Use Per Year</t>
  </si>
  <si>
    <t>Library Card Holders and Members, 2019</t>
  </si>
  <si>
    <r>
      <rPr>
        <b/>
        <sz val="10"/>
        <rFont val="Arial"/>
        <family val="2"/>
      </rPr>
      <t xml:space="preserve">Note: </t>
    </r>
    <r>
      <rPr>
        <sz val="10"/>
        <rFont val="Arial"/>
        <family val="2"/>
      </rPr>
      <t>Senior and homebound card holders are included in adult membership figures.</t>
    </r>
  </si>
  <si>
    <r>
      <rPr>
        <b/>
        <sz val="10"/>
        <color theme="1"/>
        <rFont val="Arial"/>
        <family val="2"/>
      </rPr>
      <t>CYA -</t>
    </r>
    <r>
      <rPr>
        <sz val="10"/>
        <color theme="1"/>
        <rFont val="Arial"/>
        <family val="2"/>
      </rPr>
      <t xml:space="preserve"> Children &amp; Young Adults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</si>
</sst>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_(* #,##0.0_);_(* \(#,##0.0\);_(* &quot;-&quot;??_);_(@_)"/>
    <numFmt numFmtId="165" formatCode="_(* #,##0_);_(* \(#,##0\);_(* &quot;-&quot;??_);_(@_)"/>
    <numFmt numFmtId="166" formatCode="\-\ #\ \-"/>
    <numFmt numFmtId="167" formatCode="0.0"/>
    <numFmt numFmtId="168" formatCode="0.000"/>
    <numFmt numFmtId="169" formatCode="0."/>
    <numFmt numFmtId="170" formatCode="#,##0.0"/>
    <numFmt numFmtId="171" formatCode="#,##0.0_);\(#,##0.0\)"/>
  </numFmts>
  <fonts count="96" x14ac:knownFonts="1">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b/>
      <sz val="12"/>
      <name val="Arial"/>
      <family val="2"/>
    </font>
    <font>
      <b/>
      <sz val="12"/>
      <name val="Arial"/>
      <family val="2"/>
    </font>
    <font>
      <b/>
      <sz val="10"/>
      <name val="Arial"/>
      <family val="2"/>
    </font>
    <font>
      <sz val="10"/>
      <name val="Arial"/>
      <family val="2"/>
    </font>
    <font>
      <b/>
      <vertAlign val="superscript"/>
      <sz val="10"/>
      <name val="Arial"/>
      <family val="2"/>
    </font>
    <font>
      <vertAlign val="superscript"/>
      <sz val="10"/>
      <name val="Arial"/>
      <family val="2"/>
    </font>
    <font>
      <b/>
      <sz val="16"/>
      <name val="Arial"/>
      <family val="2"/>
    </font>
    <font>
      <b/>
      <sz val="11"/>
      <name val="Arial"/>
      <family val="2"/>
    </font>
    <font>
      <b/>
      <i/>
      <sz val="10"/>
      <name val="Arial"/>
      <family val="2"/>
    </font>
    <font>
      <i/>
      <sz val="10"/>
      <name val="Arial"/>
      <family val="2"/>
    </font>
    <font>
      <vertAlign val="superscript"/>
      <sz val="10"/>
      <name val="Arial"/>
      <family val="2"/>
    </font>
    <font>
      <b/>
      <vertAlign val="superscript"/>
      <sz val="12"/>
      <name val="Arial"/>
      <family val="2"/>
    </font>
    <font>
      <sz val="12"/>
      <name val="Arial"/>
      <family val="2"/>
    </font>
    <font>
      <b/>
      <u/>
      <sz val="10"/>
      <name val="Arial"/>
      <family val="2"/>
    </font>
    <font>
      <sz val="10"/>
      <color indexed="10"/>
      <name val="Arial"/>
      <family val="2"/>
    </font>
    <font>
      <b/>
      <sz val="10"/>
      <color indexed="10"/>
      <name val="Arial"/>
      <family val="2"/>
    </font>
    <font>
      <b/>
      <sz val="11"/>
      <name val="Book Antiqua"/>
      <family val="1"/>
    </font>
    <font>
      <sz val="10"/>
      <color indexed="12"/>
      <name val="Arial"/>
      <family val="2"/>
    </font>
    <font>
      <sz val="9"/>
      <name val="Arial"/>
      <family val="2"/>
    </font>
    <font>
      <sz val="10"/>
      <color indexed="12"/>
      <name val="Arial"/>
      <family val="2"/>
    </font>
    <font>
      <sz val="8"/>
      <color indexed="81"/>
      <name val="Tahoma"/>
      <family val="2"/>
    </font>
    <font>
      <b/>
      <sz val="8"/>
      <color indexed="81"/>
      <name val="Tahoma"/>
      <family val="2"/>
    </font>
    <font>
      <b/>
      <sz val="10"/>
      <color indexed="8"/>
      <name val="Arial"/>
      <family val="2"/>
    </font>
    <font>
      <sz val="10"/>
      <color indexed="8"/>
      <name val="Arial"/>
      <family val="2"/>
    </font>
    <font>
      <b/>
      <sz val="12"/>
      <name val="Book Antiqua"/>
      <family val="1"/>
    </font>
    <font>
      <vertAlign val="superscript"/>
      <sz val="12"/>
      <name val="Arial"/>
      <family val="2"/>
    </font>
    <font>
      <b/>
      <sz val="11"/>
      <color indexed="16"/>
      <name val="Book Antiqua"/>
      <family val="1"/>
    </font>
    <font>
      <sz val="8"/>
      <name val="Arial"/>
      <family val="2"/>
    </font>
    <font>
      <sz val="10"/>
      <color indexed="8"/>
      <name val="Arial"/>
      <family val="2"/>
    </font>
    <font>
      <vertAlign val="superscript"/>
      <sz val="10"/>
      <color indexed="8"/>
      <name val="Arial"/>
      <family val="2"/>
    </font>
    <font>
      <sz val="10"/>
      <name val="Arial"/>
      <family val="2"/>
    </font>
    <font>
      <b/>
      <sz val="10"/>
      <name val="Times New Roman"/>
      <family val="1"/>
    </font>
    <font>
      <sz val="10"/>
      <name val="Arial"/>
      <family val="2"/>
    </font>
    <font>
      <b/>
      <sz val="10"/>
      <color indexed="8"/>
      <name val="Arial"/>
      <family val="2"/>
    </font>
    <font>
      <b/>
      <vertAlign val="superscript"/>
      <sz val="9"/>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10"/>
      <name val="Arial"/>
      <family val="2"/>
    </font>
    <font>
      <i/>
      <u/>
      <sz val="10"/>
      <name val="Arial"/>
      <family val="2"/>
    </font>
    <font>
      <sz val="11"/>
      <name val="Calibri"/>
      <family val="2"/>
    </font>
    <font>
      <b/>
      <sz val="10"/>
      <color indexed="12"/>
      <name val="Arial"/>
      <family val="2"/>
    </font>
    <font>
      <b/>
      <sz val="9"/>
      <name val="Arial"/>
      <family val="2"/>
    </font>
    <font>
      <b/>
      <sz val="11"/>
      <color indexed="8"/>
      <name val="Arial"/>
      <family val="2"/>
    </font>
    <font>
      <sz val="11"/>
      <color indexed="8"/>
      <name val="Arial"/>
      <family val="2"/>
    </font>
    <font>
      <b/>
      <vertAlign val="superscript"/>
      <sz val="10"/>
      <color indexed="8"/>
      <name val="Arial"/>
      <family val="2"/>
    </font>
    <font>
      <b/>
      <sz val="10"/>
      <name val="Calibri"/>
      <family val="2"/>
    </font>
    <font>
      <b/>
      <vertAlign val="superscript"/>
      <sz val="10"/>
      <name val="Calibri"/>
      <family val="2"/>
    </font>
    <font>
      <sz val="10"/>
      <name val="Calibri"/>
      <family val="2"/>
    </font>
    <font>
      <b/>
      <i/>
      <u/>
      <sz val="10"/>
      <name val="Calibri"/>
      <family val="2"/>
    </font>
    <font>
      <b/>
      <i/>
      <sz val="10"/>
      <name val="Calibri"/>
      <family val="2"/>
    </font>
    <font>
      <i/>
      <sz val="10"/>
      <name val="Calibri"/>
      <family val="2"/>
    </font>
    <font>
      <vertAlign val="superscript"/>
      <sz val="11"/>
      <name val="Arial"/>
      <family val="2"/>
    </font>
    <font>
      <sz val="11"/>
      <name val="Arial"/>
      <family val="2"/>
    </font>
    <font>
      <sz val="10"/>
      <name val="Arial"/>
      <family val="2"/>
    </font>
    <font>
      <vertAlign val="superscript"/>
      <sz val="10"/>
      <name val="Calibri"/>
      <family val="2"/>
    </font>
    <font>
      <strike/>
      <sz val="10"/>
      <name val="Arial"/>
      <family val="2"/>
    </font>
    <font>
      <sz val="11"/>
      <color theme="1"/>
      <name val="Calibri"/>
      <family val="2"/>
      <scheme val="minor"/>
    </font>
    <font>
      <b/>
      <sz val="11"/>
      <color theme="1"/>
      <name val="Calibri"/>
      <family val="2"/>
      <scheme val="minor"/>
    </font>
    <font>
      <sz val="11"/>
      <color theme="1"/>
      <name val="Arial"/>
      <family val="2"/>
    </font>
    <font>
      <sz val="10"/>
      <color theme="1"/>
      <name val="Arial"/>
      <family val="2"/>
    </font>
    <font>
      <b/>
      <sz val="10"/>
      <color theme="1"/>
      <name val="Arial"/>
      <family val="2"/>
    </font>
    <font>
      <b/>
      <sz val="11"/>
      <color theme="1"/>
      <name val="Arial"/>
      <family val="2"/>
    </font>
    <font>
      <b/>
      <i/>
      <sz val="11"/>
      <color theme="1"/>
      <name val="Calibri"/>
      <family val="2"/>
      <scheme val="minor"/>
    </font>
    <font>
      <b/>
      <sz val="10"/>
      <color theme="0"/>
      <name val="Arial"/>
      <family val="2"/>
    </font>
    <font>
      <b/>
      <sz val="18"/>
      <color theme="1"/>
      <name val="Calibri"/>
      <family val="2"/>
      <scheme val="minor"/>
    </font>
    <font>
      <b/>
      <sz val="10"/>
      <color rgb="FFFF0000"/>
      <name val="Arial"/>
      <family val="2"/>
    </font>
    <font>
      <b/>
      <sz val="10"/>
      <name val="Calibri"/>
      <family val="2"/>
      <scheme val="minor"/>
    </font>
    <font>
      <sz val="10"/>
      <name val="Calibri"/>
      <family val="2"/>
      <scheme val="minor"/>
    </font>
    <font>
      <i/>
      <sz val="10"/>
      <name val="Calibri"/>
      <family val="2"/>
      <scheme val="minor"/>
    </font>
    <font>
      <b/>
      <sz val="11"/>
      <name val="Calibri"/>
      <family val="2"/>
      <scheme val="minor"/>
    </font>
    <font>
      <b/>
      <strike/>
      <sz val="11"/>
      <name val="Calibri"/>
      <family val="2"/>
      <scheme val="minor"/>
    </font>
    <font>
      <sz val="11"/>
      <name val="Calibri"/>
      <family val="2"/>
      <scheme val="minor"/>
    </font>
    <font>
      <b/>
      <sz val="11"/>
      <color rgb="FFFF0000"/>
      <name val="Arial"/>
      <family val="2"/>
    </font>
    <font>
      <b/>
      <sz val="10"/>
      <color theme="1"/>
      <name val="Calibri"/>
      <family val="2"/>
      <scheme val="minor"/>
    </font>
    <font>
      <sz val="9"/>
      <color rgb="FF000000"/>
      <name val="Arial"/>
      <family val="2"/>
    </font>
    <font>
      <i/>
      <sz val="11"/>
      <color theme="1"/>
      <name val="Arial"/>
      <family val="2"/>
    </font>
    <font>
      <sz val="10"/>
      <name val="Arial"/>
    </font>
  </fonts>
  <fills count="21">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16"/>
        <bgColor indexed="64"/>
      </patternFill>
    </fill>
    <fill>
      <patternFill patternType="solid">
        <fgColor indexed="9"/>
        <bgColor indexed="64"/>
      </patternFill>
    </fill>
    <fill>
      <patternFill patternType="solid">
        <fgColor theme="0"/>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rgb="FF000000"/>
      </right>
      <top style="medium">
        <color indexed="64"/>
      </top>
      <bottom style="medium">
        <color indexed="64"/>
      </bottom>
      <diagonal/>
    </border>
  </borders>
  <cellStyleXfs count="59">
    <xf numFmtId="0" fontId="0" fillId="0" borderId="0" applyAlignment="0" applyProtection="0"/>
    <xf numFmtId="0" fontId="40" fillId="2"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4" borderId="0" applyNumberFormat="0" applyBorder="0" applyAlignment="0" applyProtection="0"/>
    <xf numFmtId="0" fontId="40" fillId="6" borderId="0" applyNumberFormat="0" applyBorder="0" applyAlignment="0" applyProtection="0"/>
    <xf numFmtId="0" fontId="40" fillId="3"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6" borderId="0" applyNumberFormat="0" applyBorder="0" applyAlignment="0" applyProtection="0"/>
    <xf numFmtId="0" fontId="40" fillId="4" borderId="0" applyNumberFormat="0" applyBorder="0" applyAlignment="0" applyProtection="0"/>
    <xf numFmtId="0" fontId="41" fillId="6"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8" borderId="0" applyNumberFormat="0" applyBorder="0" applyAlignment="0" applyProtection="0"/>
    <xf numFmtId="0" fontId="41" fillId="6" borderId="0" applyNumberFormat="0" applyBorder="0" applyAlignment="0" applyProtection="0"/>
    <xf numFmtId="0" fontId="41" fillId="3" borderId="0" applyNumberFormat="0" applyBorder="0" applyAlignment="0" applyProtection="0"/>
    <xf numFmtId="0" fontId="41" fillId="11"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2" fillId="15" borderId="0" applyNumberFormat="0" applyBorder="0" applyAlignment="0" applyProtection="0"/>
    <xf numFmtId="0" fontId="43" fillId="16" borderId="1" applyNumberFormat="0" applyAlignment="0" applyProtection="0"/>
    <xf numFmtId="0" fontId="44" fillId="17" borderId="2" applyNumberFormat="0" applyAlignment="0" applyProtection="0"/>
    <xf numFmtId="43" fontId="4" fillId="0" borderId="0" applyFont="0" applyFill="0" applyBorder="0" applyProtection="0"/>
    <xf numFmtId="43" fontId="4" fillId="0" borderId="0" applyFont="0" applyFill="0" applyBorder="0" applyProtection="0"/>
    <xf numFmtId="43" fontId="4" fillId="0" borderId="0" applyFont="0" applyFill="0" applyBorder="0" applyProtection="0"/>
    <xf numFmtId="43" fontId="4" fillId="0" borderId="0" applyFont="0" applyFill="0" applyBorder="0" applyProtection="0"/>
    <xf numFmtId="43" fontId="4" fillId="0" borderId="0" applyFont="0" applyFill="0" applyBorder="0" applyAlignment="0" applyProtection="0"/>
    <xf numFmtId="44" fontId="4" fillId="0" borderId="0" applyFont="0" applyFill="0" applyBorder="0" applyAlignment="0" applyProtection="0"/>
    <xf numFmtId="0" fontId="45" fillId="0" borderId="0" applyNumberFormat="0" applyFill="0" applyBorder="0" applyAlignment="0" applyProtection="0"/>
    <xf numFmtId="0" fontId="46" fillId="6" borderId="0" applyNumberFormat="0" applyBorder="0" applyAlignment="0" applyProtection="0"/>
    <xf numFmtId="0" fontId="47" fillId="0" borderId="3" applyNumberFormat="0" applyFill="0" applyAlignment="0" applyProtection="0"/>
    <xf numFmtId="0" fontId="48" fillId="0" borderId="4" applyNumberFormat="0" applyFill="0" applyAlignment="0" applyProtection="0"/>
    <xf numFmtId="0" fontId="49" fillId="0" borderId="5" applyNumberFormat="0" applyFill="0" applyAlignment="0" applyProtection="0"/>
    <xf numFmtId="0" fontId="49" fillId="0" borderId="0" applyNumberFormat="0" applyFill="0" applyBorder="0" applyAlignment="0" applyProtection="0"/>
    <xf numFmtId="0" fontId="50" fillId="7" borderId="1" applyNumberFormat="0" applyAlignment="0" applyProtection="0"/>
    <xf numFmtId="0" fontId="51" fillId="0" borderId="6" applyNumberFormat="0" applyFill="0" applyAlignment="0" applyProtection="0"/>
    <xf numFmtId="0" fontId="52" fillId="7" borderId="0" applyNumberFormat="0" applyBorder="0" applyAlignment="0" applyProtection="0"/>
    <xf numFmtId="0" fontId="56" fillId="0" borderId="0"/>
    <xf numFmtId="0" fontId="4" fillId="0" borderId="0" applyAlignment="0" applyProtection="0"/>
    <xf numFmtId="0" fontId="4" fillId="0" borderId="0"/>
    <xf numFmtId="0" fontId="75" fillId="0" borderId="0"/>
    <xf numFmtId="0" fontId="4" fillId="0" borderId="0" applyAlignment="0" applyProtection="0"/>
    <xf numFmtId="0" fontId="4" fillId="0" borderId="0" applyAlignment="0" applyProtection="0"/>
    <xf numFmtId="0" fontId="4" fillId="0" borderId="0" applyAlignment="0" applyProtection="0"/>
    <xf numFmtId="0" fontId="4" fillId="0" borderId="0"/>
    <xf numFmtId="0" fontId="56" fillId="0" borderId="0" applyAlignment="0" applyProtection="0"/>
    <xf numFmtId="0" fontId="4" fillId="4" borderId="7" applyNumberFormat="0" applyFont="0" applyAlignment="0" applyProtection="0"/>
    <xf numFmtId="0" fontId="53" fillId="16" borderId="8" applyNumberFormat="0" applyAlignment="0" applyProtection="0"/>
    <xf numFmtId="0" fontId="54" fillId="0" borderId="0" applyNumberFormat="0" applyFill="0" applyBorder="0" applyAlignment="0" applyProtection="0"/>
    <xf numFmtId="0" fontId="55" fillId="0" borderId="9" applyNumberFormat="0" applyFill="0" applyAlignment="0" applyProtection="0"/>
    <xf numFmtId="0" fontId="51" fillId="0" borderId="0" applyNumberFormat="0" applyFill="0" applyBorder="0" applyAlignment="0" applyProtection="0"/>
    <xf numFmtId="0" fontId="2" fillId="0" borderId="0"/>
    <xf numFmtId="0" fontId="95" fillId="0" borderId="0" applyAlignment="0" applyProtection="0"/>
  </cellStyleXfs>
  <cellXfs count="807">
    <xf numFmtId="0" fontId="0" fillId="0" borderId="0" xfId="0"/>
    <xf numFmtId="0" fontId="5" fillId="0" borderId="0" xfId="0" applyFont="1"/>
    <xf numFmtId="0" fontId="0" fillId="0" borderId="10" xfId="0" applyBorder="1"/>
    <xf numFmtId="0" fontId="8" fillId="0" borderId="0" xfId="0" applyFont="1"/>
    <xf numFmtId="0" fontId="7" fillId="0" borderId="0" xfId="0" applyFont="1"/>
    <xf numFmtId="0" fontId="3" fillId="0" borderId="0" xfId="0" applyFont="1"/>
    <xf numFmtId="0" fontId="0" fillId="0" borderId="0" xfId="0" applyAlignment="1">
      <alignment horizontal="right"/>
    </xf>
    <xf numFmtId="0" fontId="3" fillId="0" borderId="0" xfId="0" applyFont="1" applyAlignment="1">
      <alignment horizontal="center"/>
    </xf>
    <xf numFmtId="0" fontId="3" fillId="0" borderId="11" xfId="0" applyFont="1" applyBorder="1"/>
    <xf numFmtId="0" fontId="0" fillId="0" borderId="11" xfId="0" applyBorder="1"/>
    <xf numFmtId="0" fontId="3" fillId="0" borderId="0" xfId="0" applyFont="1" applyAlignment="1">
      <alignment horizontal="centerContinuous"/>
    </xf>
    <xf numFmtId="0" fontId="0" fillId="0" borderId="0" xfId="0" applyAlignment="1">
      <alignment horizontal="centerContinuous"/>
    </xf>
    <xf numFmtId="0" fontId="5" fillId="0" borderId="0" xfId="0" applyFont="1" applyAlignment="1">
      <alignment horizontal="centerContinuous"/>
    </xf>
    <xf numFmtId="0" fontId="6" fillId="0" borderId="0" xfId="0" applyFont="1" applyAlignment="1">
      <alignment horizontal="centerContinuous"/>
    </xf>
    <xf numFmtId="165" fontId="0" fillId="0" borderId="0" xfId="28" applyNumberFormat="1" applyFont="1" applyAlignment="1">
      <alignment horizontal="right"/>
    </xf>
    <xf numFmtId="0" fontId="4" fillId="0" borderId="0" xfId="0" applyFont="1"/>
    <xf numFmtId="165" fontId="0" fillId="0" borderId="0" xfId="28" applyNumberFormat="1" applyFont="1"/>
    <xf numFmtId="165" fontId="0" fillId="0" borderId="0" xfId="28" applyNumberFormat="1" applyFont="1" applyAlignment="1">
      <alignment horizontal="centerContinuous"/>
    </xf>
    <xf numFmtId="0" fontId="0" fillId="0" borderId="0" xfId="0" applyAlignment="1">
      <alignment horizontal="center"/>
    </xf>
    <xf numFmtId="0" fontId="0" fillId="0" borderId="0" xfId="0" applyBorder="1"/>
    <xf numFmtId="166" fontId="0" fillId="0" borderId="0" xfId="0" applyNumberFormat="1" applyAlignment="1">
      <alignment horizontal="centerContinuous"/>
    </xf>
    <xf numFmtId="0" fontId="3" fillId="0" borderId="11" xfId="0" applyFont="1" applyBorder="1" applyAlignment="1">
      <alignment horizontal="center"/>
    </xf>
    <xf numFmtId="165" fontId="8" fillId="0" borderId="0" xfId="28" applyNumberFormat="1" applyFont="1" applyAlignment="1">
      <alignment horizontal="right"/>
    </xf>
    <xf numFmtId="165" fontId="7" fillId="0" borderId="0" xfId="28" applyNumberFormat="1" applyFont="1" applyAlignment="1">
      <alignment horizontal="right"/>
    </xf>
    <xf numFmtId="0" fontId="10" fillId="0" borderId="0" xfId="0" applyFont="1"/>
    <xf numFmtId="0" fontId="10" fillId="0" borderId="0" xfId="0" applyFont="1" applyProtection="1">
      <protection locked="0"/>
    </xf>
    <xf numFmtId="0" fontId="3" fillId="0" borderId="0" xfId="0" applyFont="1" applyBorder="1" applyAlignment="1">
      <alignment horizontal="center"/>
    </xf>
    <xf numFmtId="0" fontId="3" fillId="0" borderId="11" xfId="0" applyFont="1" applyBorder="1" applyAlignment="1">
      <alignment horizontal="centerContinuous"/>
    </xf>
    <xf numFmtId="165" fontId="3" fillId="0" borderId="0" xfId="28" applyNumberFormat="1" applyFont="1"/>
    <xf numFmtId="0" fontId="0" fillId="0" borderId="0" xfId="0" applyFill="1"/>
    <xf numFmtId="0" fontId="3" fillId="0" borderId="11" xfId="0" applyFont="1" applyBorder="1" applyAlignment="1">
      <alignment horizontal="left" wrapText="1"/>
    </xf>
    <xf numFmtId="0" fontId="6" fillId="0" borderId="0" xfId="0" applyFont="1"/>
    <xf numFmtId="165" fontId="0" fillId="0" borderId="0" xfId="28" applyNumberFormat="1" applyFont="1" applyAlignment="1">
      <alignment horizontal="center"/>
    </xf>
    <xf numFmtId="165" fontId="3" fillId="0" borderId="0" xfId="28" applyNumberFormat="1" applyFont="1" applyAlignment="1">
      <alignment horizontal="center"/>
    </xf>
    <xf numFmtId="0" fontId="4" fillId="0" borderId="0" xfId="0" applyFont="1" applyAlignment="1">
      <alignment horizontal="right"/>
    </xf>
    <xf numFmtId="0" fontId="3" fillId="0" borderId="11" xfId="0" applyFont="1" applyBorder="1" applyAlignment="1">
      <alignment horizontal="right"/>
    </xf>
    <xf numFmtId="0" fontId="3" fillId="0" borderId="0" xfId="0" applyFont="1" applyAlignment="1">
      <alignment horizontal="left"/>
    </xf>
    <xf numFmtId="0" fontId="0" fillId="0" borderId="0" xfId="0" applyAlignment="1">
      <alignment horizontal="left"/>
    </xf>
    <xf numFmtId="0" fontId="4" fillId="0" borderId="0" xfId="0" applyFont="1" applyAlignment="1">
      <alignment horizontal="left"/>
    </xf>
    <xf numFmtId="0" fontId="3" fillId="0" borderId="0" xfId="0" applyFont="1" applyBorder="1"/>
    <xf numFmtId="0" fontId="3" fillId="0" borderId="0" xfId="0" applyFont="1" applyBorder="1" applyAlignment="1">
      <alignment horizontal="right"/>
    </xf>
    <xf numFmtId="0" fontId="10" fillId="0" borderId="11" xfId="0" applyFont="1" applyBorder="1"/>
    <xf numFmtId="165" fontId="7" fillId="0" borderId="0" xfId="28" applyNumberFormat="1" applyFont="1"/>
    <xf numFmtId="0" fontId="7" fillId="0" borderId="11" xfId="0" applyFont="1" applyBorder="1"/>
    <xf numFmtId="0" fontId="7" fillId="0" borderId="0" xfId="0" applyFont="1" applyAlignment="1">
      <alignment horizontal="center"/>
    </xf>
    <xf numFmtId="0" fontId="5" fillId="0" borderId="0" xfId="0" applyFont="1" applyAlignment="1">
      <alignment horizontal="left"/>
    </xf>
    <xf numFmtId="0" fontId="7" fillId="0" borderId="11" xfId="0" applyFont="1" applyBorder="1" applyAlignment="1">
      <alignment horizontal="right"/>
    </xf>
    <xf numFmtId="0" fontId="7" fillId="0" borderId="0" xfId="0" applyFont="1" applyBorder="1"/>
    <xf numFmtId="0" fontId="0" fillId="0" borderId="10" xfId="0" applyBorder="1" applyAlignment="1">
      <alignment horizontal="center"/>
    </xf>
    <xf numFmtId="0" fontId="0" fillId="0" borderId="0" xfId="0" applyAlignment="1">
      <alignment horizontal="left" indent="2"/>
    </xf>
    <xf numFmtId="0" fontId="0" fillId="0" borderId="0" xfId="0" applyFill="1" applyBorder="1"/>
    <xf numFmtId="0" fontId="7" fillId="0" borderId="11" xfId="0" applyFont="1" applyFill="1" applyBorder="1"/>
    <xf numFmtId="0" fontId="3" fillId="0" borderId="0" xfId="0" applyFont="1" applyAlignment="1">
      <alignment horizontal="left" indent="1"/>
    </xf>
    <xf numFmtId="0" fontId="0" fillId="0" borderId="0" xfId="0" applyAlignment="1">
      <alignment horizontal="left" indent="1"/>
    </xf>
    <xf numFmtId="0" fontId="8" fillId="0" borderId="0" xfId="0" applyFont="1" applyAlignment="1">
      <alignment horizontal="left" indent="1"/>
    </xf>
    <xf numFmtId="0" fontId="8" fillId="0" borderId="0" xfId="0" applyFont="1" applyAlignment="1">
      <alignment horizontal="left"/>
    </xf>
    <xf numFmtId="0" fontId="7" fillId="0" borderId="11" xfId="0" applyFont="1" applyFill="1" applyBorder="1" applyAlignment="1">
      <alignment horizontal="right"/>
    </xf>
    <xf numFmtId="0" fontId="7" fillId="0" borderId="11" xfId="0" applyNumberFormat="1" applyFont="1" applyBorder="1" applyAlignment="1">
      <alignment horizontal="right"/>
    </xf>
    <xf numFmtId="0" fontId="15" fillId="0" borderId="0" xfId="0" applyFont="1"/>
    <xf numFmtId="0" fontId="0" fillId="18" borderId="0" xfId="0" applyFill="1"/>
    <xf numFmtId="0" fontId="0" fillId="0" borderId="0" xfId="0" applyAlignment="1"/>
    <xf numFmtId="166" fontId="0" fillId="0" borderId="0" xfId="0" applyNumberFormat="1" applyAlignment="1"/>
    <xf numFmtId="165" fontId="4" fillId="0" borderId="0" xfId="28" applyNumberFormat="1" applyFill="1"/>
    <xf numFmtId="0" fontId="0" fillId="0" borderId="0" xfId="0" applyFill="1" applyBorder="1" applyAlignment="1">
      <alignment horizontal="right"/>
    </xf>
    <xf numFmtId="0" fontId="0" fillId="0" borderId="10" xfId="0" applyFill="1" applyBorder="1"/>
    <xf numFmtId="0" fontId="7" fillId="0" borderId="0" xfId="0" applyFont="1" applyFill="1" applyBorder="1"/>
    <xf numFmtId="165" fontId="15" fillId="0" borderId="0" xfId="28" applyNumberFormat="1" applyFont="1" applyAlignment="1">
      <alignment horizontal="right"/>
    </xf>
    <xf numFmtId="164" fontId="15" fillId="0" borderId="0" xfId="28" applyNumberFormat="1" applyFont="1" applyAlignment="1">
      <alignment horizontal="center"/>
    </xf>
    <xf numFmtId="164" fontId="15" fillId="0" borderId="0" xfId="28" applyNumberFormat="1" applyFont="1" applyAlignment="1">
      <alignment horizontal="right"/>
    </xf>
    <xf numFmtId="165" fontId="4" fillId="0" borderId="0" xfId="28" applyNumberFormat="1"/>
    <xf numFmtId="165" fontId="4" fillId="0" borderId="0" xfId="28" applyNumberFormat="1" applyFont="1"/>
    <xf numFmtId="0" fontId="7" fillId="0" borderId="0" xfId="0" applyFont="1" applyAlignment="1">
      <alignment horizontal="left"/>
    </xf>
    <xf numFmtId="165" fontId="4" fillId="0" borderId="10" xfId="28" applyNumberFormat="1" applyFont="1" applyBorder="1"/>
    <xf numFmtId="0" fontId="21" fillId="0" borderId="0" xfId="0" applyFont="1" applyAlignment="1">
      <alignment horizontal="right"/>
    </xf>
    <xf numFmtId="165" fontId="4" fillId="0" borderId="0" xfId="28" applyNumberFormat="1" applyFont="1" applyBorder="1"/>
    <xf numFmtId="0" fontId="7" fillId="0" borderId="0" xfId="0" applyFont="1" applyAlignment="1">
      <alignment horizontal="left" indent="1"/>
    </xf>
    <xf numFmtId="164" fontId="9" fillId="0" borderId="0" xfId="28" applyNumberFormat="1" applyFont="1" applyAlignment="1">
      <alignment horizontal="center"/>
    </xf>
    <xf numFmtId="38" fontId="3" fillId="0" borderId="0" xfId="28" applyNumberFormat="1" applyFont="1"/>
    <xf numFmtId="38" fontId="24" fillId="0" borderId="0" xfId="28" applyNumberFormat="1" applyFont="1"/>
    <xf numFmtId="38" fontId="24" fillId="0" borderId="0" xfId="0" applyNumberFormat="1" applyFont="1"/>
    <xf numFmtId="38" fontId="7" fillId="0" borderId="0" xfId="0" applyNumberFormat="1" applyFont="1"/>
    <xf numFmtId="38" fontId="0" fillId="0" borderId="0" xfId="0" applyNumberFormat="1"/>
    <xf numFmtId="38" fontId="0" fillId="0" borderId="0" xfId="28" applyNumberFormat="1" applyFont="1"/>
    <xf numFmtId="38" fontId="15" fillId="0" borderId="0" xfId="28" applyNumberFormat="1" applyFont="1" applyAlignment="1">
      <alignment horizontal="right"/>
    </xf>
    <xf numFmtId="38" fontId="7" fillId="0" borderId="0" xfId="28" applyNumberFormat="1" applyFont="1"/>
    <xf numFmtId="38" fontId="9" fillId="0" borderId="0" xfId="28" applyNumberFormat="1" applyFont="1" applyAlignment="1">
      <alignment horizontal="right"/>
    </xf>
    <xf numFmtId="38" fontId="7" fillId="0" borderId="0" xfId="0" applyNumberFormat="1" applyFont="1" applyAlignment="1">
      <alignment horizontal="right"/>
    </xf>
    <xf numFmtId="38" fontId="0" fillId="0" borderId="0" xfId="0" applyNumberFormat="1" applyAlignment="1">
      <alignment horizontal="right"/>
    </xf>
    <xf numFmtId="38" fontId="24" fillId="0" borderId="0" xfId="0" applyNumberFormat="1" applyFont="1" applyFill="1"/>
    <xf numFmtId="38" fontId="0" fillId="0" borderId="0" xfId="28" applyNumberFormat="1" applyFont="1" applyFill="1" applyAlignment="1">
      <alignment horizontal="right"/>
    </xf>
    <xf numFmtId="38" fontId="0" fillId="0" borderId="0" xfId="28" applyNumberFormat="1" applyFont="1" applyFill="1"/>
    <xf numFmtId="38" fontId="3" fillId="0" borderId="0" xfId="28" applyNumberFormat="1" applyFont="1" applyFill="1"/>
    <xf numFmtId="38" fontId="24" fillId="0" borderId="0" xfId="28" applyNumberFormat="1" applyFont="1" applyFill="1"/>
    <xf numFmtId="165" fontId="7" fillId="0" borderId="0" xfId="28" applyNumberFormat="1" applyFont="1" applyFill="1"/>
    <xf numFmtId="165" fontId="4" fillId="0" borderId="10" xfId="28" applyNumberFormat="1" applyBorder="1"/>
    <xf numFmtId="165" fontId="10" fillId="0" borderId="0" xfId="28" applyNumberFormat="1" applyFont="1" applyAlignment="1">
      <alignment horizontal="center"/>
    </xf>
    <xf numFmtId="0" fontId="8" fillId="0" borderId="10" xfId="0" applyFont="1" applyBorder="1" applyAlignment="1">
      <alignment horizontal="left" indent="1"/>
    </xf>
    <xf numFmtId="0" fontId="7" fillId="0" borderId="0" xfId="0" applyFont="1" applyAlignment="1"/>
    <xf numFmtId="165" fontId="4" fillId="0" borderId="0" xfId="28" applyNumberFormat="1" applyBorder="1"/>
    <xf numFmtId="0" fontId="7" fillId="0" borderId="0" xfId="0" applyFont="1" applyFill="1" applyBorder="1" applyAlignment="1">
      <alignment horizontal="right"/>
    </xf>
    <xf numFmtId="168" fontId="0" fillId="0" borderId="0" xfId="0" applyNumberFormat="1" applyFill="1" applyBorder="1" applyAlignment="1">
      <alignment horizontal="right"/>
    </xf>
    <xf numFmtId="0" fontId="21" fillId="0" borderId="0" xfId="0" applyFont="1" applyAlignment="1"/>
    <xf numFmtId="0" fontId="4" fillId="0" borderId="0" xfId="50"/>
    <xf numFmtId="0" fontId="8" fillId="0" borderId="0" xfId="50" applyFont="1"/>
    <xf numFmtId="0" fontId="21" fillId="0" borderId="0" xfId="50" applyFont="1" applyAlignment="1">
      <alignment horizontal="right"/>
    </xf>
    <xf numFmtId="0" fontId="4" fillId="18" borderId="0" xfId="50" applyFill="1"/>
    <xf numFmtId="165" fontId="4" fillId="0" borderId="0" xfId="32" applyNumberFormat="1"/>
    <xf numFmtId="165" fontId="4" fillId="0" borderId="0" xfId="50" applyNumberFormat="1"/>
    <xf numFmtId="0" fontId="4" fillId="18" borderId="0" xfId="50" applyFill="1" applyAlignment="1">
      <alignment horizontal="centerContinuous"/>
    </xf>
    <xf numFmtId="0" fontId="4" fillId="0" borderId="0" xfId="50" applyFont="1"/>
    <xf numFmtId="165" fontId="10" fillId="0" borderId="0" xfId="28" applyNumberFormat="1" applyFont="1" applyAlignment="1">
      <alignment horizontal="right"/>
    </xf>
    <xf numFmtId="165" fontId="8" fillId="0" borderId="0" xfId="28" applyNumberFormat="1" applyFont="1" applyAlignment="1"/>
    <xf numFmtId="37" fontId="4" fillId="0" borderId="0" xfId="28" applyNumberFormat="1"/>
    <xf numFmtId="37" fontId="4" fillId="0" borderId="0" xfId="28" applyNumberFormat="1" applyFont="1" applyBorder="1" applyAlignment="1">
      <alignment horizontal="right"/>
    </xf>
    <xf numFmtId="165" fontId="7" fillId="0" borderId="0" xfId="28" applyNumberFormat="1" applyFont="1" applyFill="1" applyAlignment="1">
      <alignment horizontal="right"/>
    </xf>
    <xf numFmtId="0" fontId="35" fillId="0" borderId="0" xfId="0" applyFont="1"/>
    <xf numFmtId="0" fontId="35" fillId="0" borderId="10" xfId="0" applyFont="1" applyBorder="1"/>
    <xf numFmtId="37" fontId="37" fillId="0" borderId="0" xfId="28" applyNumberFormat="1" applyFont="1" applyBorder="1"/>
    <xf numFmtId="37" fontId="4" fillId="0" borderId="0" xfId="28" applyNumberFormat="1" applyFont="1" applyBorder="1"/>
    <xf numFmtId="37" fontId="4" fillId="0" borderId="0" xfId="28" applyNumberFormat="1" applyFont="1"/>
    <xf numFmtId="37" fontId="4" fillId="0" borderId="0" xfId="28" applyNumberFormat="1" applyFont="1" applyFill="1"/>
    <xf numFmtId="37" fontId="4" fillId="0" borderId="10" xfId="28" applyNumberFormat="1" applyFont="1" applyBorder="1"/>
    <xf numFmtId="0" fontId="36" fillId="0" borderId="11" xfId="0" applyFont="1" applyBorder="1" applyAlignment="1">
      <alignment horizontal="right"/>
    </xf>
    <xf numFmtId="0" fontId="7" fillId="0" borderId="10" xfId="0" applyFont="1" applyBorder="1"/>
    <xf numFmtId="0" fontId="7" fillId="0" borderId="10" xfId="0" applyFont="1" applyBorder="1" applyAlignment="1">
      <alignment horizontal="right"/>
    </xf>
    <xf numFmtId="38" fontId="4" fillId="0" borderId="0" xfId="28" applyNumberFormat="1" applyFont="1" applyAlignment="1">
      <alignment horizontal="right"/>
    </xf>
    <xf numFmtId="165" fontId="7" fillId="0" borderId="0" xfId="28" applyNumberFormat="1" applyFont="1" applyBorder="1"/>
    <xf numFmtId="49" fontId="7" fillId="0" borderId="0" xfId="50" applyNumberFormat="1" applyFont="1" applyBorder="1"/>
    <xf numFmtId="0" fontId="4" fillId="0" borderId="0" xfId="49" applyFill="1"/>
    <xf numFmtId="165" fontId="4" fillId="0" borderId="0" xfId="31" applyNumberFormat="1" applyFill="1"/>
    <xf numFmtId="0" fontId="17" fillId="0" borderId="0" xfId="49" applyFont="1" applyFill="1"/>
    <xf numFmtId="0" fontId="4" fillId="0" borderId="0" xfId="49" applyFont="1" applyFill="1" applyBorder="1"/>
    <xf numFmtId="0" fontId="4" fillId="0" borderId="0" xfId="49" applyFont="1" applyFill="1"/>
    <xf numFmtId="165" fontId="4" fillId="0" borderId="0" xfId="31" applyNumberFormat="1" applyFont="1" applyFill="1"/>
    <xf numFmtId="165" fontId="4" fillId="0" borderId="0" xfId="49" applyNumberFormat="1" applyFill="1"/>
    <xf numFmtId="0" fontId="7" fillId="0" borderId="0" xfId="49" applyFont="1" applyFill="1"/>
    <xf numFmtId="165" fontId="3" fillId="0" borderId="0" xfId="31" applyNumberFormat="1" applyFont="1" applyFill="1"/>
    <xf numFmtId="0" fontId="15" fillId="0" borderId="0" xfId="49" applyFont="1" applyFill="1" applyAlignment="1">
      <alignment horizontal="right"/>
    </xf>
    <xf numFmtId="165" fontId="4" fillId="0" borderId="0" xfId="31" applyNumberFormat="1" applyFont="1" applyFill="1" applyAlignment="1">
      <alignment horizontal="right"/>
    </xf>
    <xf numFmtId="0" fontId="4" fillId="0" borderId="0" xfId="49" applyFont="1" applyFill="1" applyAlignment="1">
      <alignment horizontal="center"/>
    </xf>
    <xf numFmtId="165" fontId="4" fillId="0" borderId="0" xfId="31" applyNumberFormat="1" applyFont="1" applyFill="1" applyBorder="1"/>
    <xf numFmtId="0" fontId="3" fillId="0" borderId="0" xfId="49" applyFont="1" applyFill="1" applyBorder="1" applyAlignment="1">
      <alignment horizontal="left"/>
    </xf>
    <xf numFmtId="0" fontId="3" fillId="0" borderId="0" xfId="49" applyFont="1" applyFill="1" applyBorder="1"/>
    <xf numFmtId="0" fontId="4" fillId="0" borderId="10" xfId="49" applyFont="1" applyFill="1" applyBorder="1"/>
    <xf numFmtId="165" fontId="3" fillId="0" borderId="0" xfId="31" applyNumberFormat="1" applyFont="1" applyFill="1" applyBorder="1"/>
    <xf numFmtId="0" fontId="15" fillId="0" borderId="0" xfId="49" applyFont="1" applyFill="1"/>
    <xf numFmtId="0" fontId="8" fillId="0" borderId="0" xfId="49" applyFont="1" applyFill="1" applyBorder="1" applyAlignment="1">
      <alignment horizontal="left"/>
    </xf>
    <xf numFmtId="166" fontId="4" fillId="0" borderId="0" xfId="49" applyNumberFormat="1" applyFill="1" applyAlignment="1"/>
    <xf numFmtId="0" fontId="4" fillId="0" borderId="0" xfId="49" applyFill="1" applyBorder="1"/>
    <xf numFmtId="0" fontId="18" fillId="0" borderId="0" xfId="49" applyFont="1" applyFill="1" applyBorder="1"/>
    <xf numFmtId="165" fontId="3" fillId="0" borderId="0" xfId="49" applyNumberFormat="1" applyFont="1" applyFill="1" applyBorder="1"/>
    <xf numFmtId="0" fontId="10" fillId="0" borderId="0" xfId="49" applyFont="1" applyFill="1" applyBorder="1"/>
    <xf numFmtId="0" fontId="3" fillId="0" borderId="10" xfId="49" applyFont="1" applyFill="1" applyBorder="1"/>
    <xf numFmtId="165" fontId="4" fillId="0" borderId="10" xfId="31" applyNumberFormat="1" applyFont="1" applyFill="1" applyBorder="1"/>
    <xf numFmtId="0" fontId="4" fillId="0" borderId="10" xfId="49" applyFont="1" applyFill="1" applyBorder="1" applyAlignment="1">
      <alignment horizontal="center"/>
    </xf>
    <xf numFmtId="38" fontId="0" fillId="0" borderId="0" xfId="28" applyNumberFormat="1" applyFont="1" applyAlignment="1">
      <alignment horizontal="right"/>
    </xf>
    <xf numFmtId="0" fontId="0" fillId="0" borderId="0" xfId="0" applyFill="1" applyAlignment="1"/>
    <xf numFmtId="38" fontId="39" fillId="0" borderId="0" xfId="28" applyNumberFormat="1" applyFont="1" applyAlignment="1">
      <alignment horizontal="left"/>
    </xf>
    <xf numFmtId="38" fontId="15" fillId="0" borderId="0" xfId="28" applyNumberFormat="1" applyFont="1" applyFill="1" applyAlignment="1">
      <alignment horizontal="right"/>
    </xf>
    <xf numFmtId="0" fontId="15" fillId="0" borderId="0" xfId="0" applyFont="1" applyAlignment="1">
      <alignment vertical="top"/>
    </xf>
    <xf numFmtId="165" fontId="8" fillId="0" borderId="0" xfId="28" applyNumberFormat="1" applyFont="1" applyAlignment="1">
      <alignment horizontal="left"/>
    </xf>
    <xf numFmtId="43" fontId="4" fillId="0" borderId="0" xfId="28"/>
    <xf numFmtId="0" fontId="4" fillId="0" borderId="0" xfId="0" applyFont="1" applyAlignment="1"/>
    <xf numFmtId="0" fontId="13" fillId="0" borderId="0" xfId="0" applyFont="1" applyAlignment="1">
      <alignment horizontal="left"/>
    </xf>
    <xf numFmtId="0" fontId="4" fillId="0" borderId="0" xfId="0" applyFont="1" applyAlignment="1">
      <alignment horizontal="left" indent="1"/>
    </xf>
    <xf numFmtId="0" fontId="0" fillId="19" borderId="0" xfId="0" applyFill="1"/>
    <xf numFmtId="0" fontId="8" fillId="19" borderId="0" xfId="0" applyFont="1" applyFill="1"/>
    <xf numFmtId="0" fontId="31" fillId="19" borderId="0" xfId="0" applyFont="1" applyFill="1" applyAlignment="1">
      <alignment horizontal="right"/>
    </xf>
    <xf numFmtId="0" fontId="0" fillId="19" borderId="0" xfId="0" applyFill="1" applyBorder="1"/>
    <xf numFmtId="0" fontId="11" fillId="19" borderId="0" xfId="0" applyFont="1" applyFill="1" applyAlignment="1">
      <alignment horizontal="centerContinuous"/>
    </xf>
    <xf numFmtId="0" fontId="14" fillId="0" borderId="0" xfId="0" applyFont="1" applyFill="1"/>
    <xf numFmtId="165" fontId="4" fillId="0" borderId="0" xfId="28" applyNumberFormat="1" applyFont="1" applyFill="1" applyBorder="1"/>
    <xf numFmtId="0" fontId="29" fillId="0" borderId="0" xfId="49" applyFont="1" applyFill="1" applyAlignment="1">
      <alignment horizontal="right"/>
    </xf>
    <xf numFmtId="0" fontId="5" fillId="0" borderId="0" xfId="49" applyFont="1" applyFill="1" applyAlignment="1">
      <alignment horizontal="center"/>
    </xf>
    <xf numFmtId="0" fontId="0" fillId="20" borderId="0" xfId="0" applyFill="1"/>
    <xf numFmtId="0" fontId="0" fillId="20" borderId="10" xfId="0" applyFill="1" applyBorder="1"/>
    <xf numFmtId="0" fontId="3" fillId="20" borderId="0" xfId="0" applyFont="1" applyFill="1"/>
    <xf numFmtId="0" fontId="7" fillId="20" borderId="0" xfId="0" applyFont="1" applyFill="1"/>
    <xf numFmtId="0" fontId="0" fillId="20" borderId="0" xfId="0" applyFill="1" applyBorder="1"/>
    <xf numFmtId="0" fontId="4" fillId="20" borderId="0" xfId="0" applyFont="1" applyFill="1" applyBorder="1"/>
    <xf numFmtId="0" fontId="4" fillId="20" borderId="0" xfId="0" applyFont="1" applyFill="1"/>
    <xf numFmtId="165" fontId="4" fillId="20" borderId="0" xfId="28" applyNumberFormat="1" applyFill="1"/>
    <xf numFmtId="0" fontId="14" fillId="0" borderId="0" xfId="49" applyFont="1" applyFill="1" applyBorder="1" applyAlignment="1">
      <alignment horizontal="right"/>
    </xf>
    <xf numFmtId="0" fontId="5" fillId="20" borderId="0" xfId="49" applyFont="1" applyFill="1" applyAlignment="1">
      <alignment horizontal="left"/>
    </xf>
    <xf numFmtId="0" fontId="4" fillId="20" borderId="0" xfId="49" applyFill="1"/>
    <xf numFmtId="165" fontId="4" fillId="20" borderId="0" xfId="31" applyNumberFormat="1" applyFill="1"/>
    <xf numFmtId="0" fontId="12" fillId="20" borderId="0" xfId="49" applyFont="1" applyFill="1" applyAlignment="1"/>
    <xf numFmtId="0" fontId="4" fillId="20" borderId="0" xfId="49" applyFill="1" applyAlignment="1">
      <alignment horizontal="centerContinuous"/>
    </xf>
    <xf numFmtId="0" fontId="4" fillId="20" borderId="10" xfId="49" applyFill="1" applyBorder="1"/>
    <xf numFmtId="0" fontId="14" fillId="20" borderId="10" xfId="49" applyFont="1" applyFill="1" applyBorder="1" applyAlignment="1">
      <alignment horizontal="right"/>
    </xf>
    <xf numFmtId="0" fontId="4" fillId="20" borderId="0" xfId="49" applyFont="1" applyFill="1" applyBorder="1"/>
    <xf numFmtId="0" fontId="3" fillId="20" borderId="11" xfId="49" applyFont="1" applyFill="1" applyBorder="1" applyAlignment="1">
      <alignment horizontal="right"/>
    </xf>
    <xf numFmtId="0" fontId="3" fillId="20" borderId="11" xfId="49" applyFont="1" applyFill="1" applyBorder="1" applyAlignment="1">
      <alignment horizontal="center"/>
    </xf>
    <xf numFmtId="0" fontId="7" fillId="20" borderId="10" xfId="49" applyFont="1" applyFill="1" applyBorder="1"/>
    <xf numFmtId="0" fontId="7" fillId="20" borderId="11" xfId="49" applyFont="1" applyFill="1" applyBorder="1"/>
    <xf numFmtId="0" fontId="18" fillId="20" borderId="0" xfId="49" applyFont="1" applyFill="1" applyAlignment="1"/>
    <xf numFmtId="0" fontId="4" fillId="20" borderId="0" xfId="49" applyFont="1" applyFill="1"/>
    <xf numFmtId="165" fontId="4" fillId="20" borderId="0" xfId="31" applyNumberFormat="1" applyFont="1" applyFill="1"/>
    <xf numFmtId="0" fontId="3" fillId="20" borderId="0" xfId="49" applyFont="1" applyFill="1" applyAlignment="1"/>
    <xf numFmtId="0" fontId="7" fillId="20" borderId="0" xfId="49" applyFont="1" applyFill="1"/>
    <xf numFmtId="0" fontId="3" fillId="20" borderId="0" xfId="49" applyFont="1" applyFill="1" applyAlignment="1">
      <alignment horizontal="left"/>
    </xf>
    <xf numFmtId="165" fontId="3" fillId="20" borderId="0" xfId="31" applyNumberFormat="1" applyFont="1" applyFill="1"/>
    <xf numFmtId="164" fontId="3" fillId="20" borderId="0" xfId="28" applyNumberFormat="1" applyFont="1" applyFill="1"/>
    <xf numFmtId="164" fontId="3" fillId="20" borderId="0" xfId="31" applyNumberFormat="1" applyFont="1" applyFill="1"/>
    <xf numFmtId="0" fontId="15" fillId="20" borderId="0" xfId="49" applyFont="1" applyFill="1" applyAlignment="1">
      <alignment horizontal="right"/>
    </xf>
    <xf numFmtId="164" fontId="7" fillId="20" borderId="0" xfId="28" applyNumberFormat="1" applyFont="1" applyFill="1"/>
    <xf numFmtId="164" fontId="7" fillId="20" borderId="0" xfId="49" applyNumberFormat="1" applyFont="1" applyFill="1" applyAlignment="1">
      <alignment horizontal="right"/>
    </xf>
    <xf numFmtId="0" fontId="4" fillId="20" borderId="0" xfId="49" applyFont="1" applyFill="1" applyAlignment="1">
      <alignment horizontal="left" indent="1"/>
    </xf>
    <xf numFmtId="164" fontId="4" fillId="20" borderId="0" xfId="31" applyNumberFormat="1" applyFont="1" applyFill="1"/>
    <xf numFmtId="164" fontId="15" fillId="20" borderId="0" xfId="49" applyNumberFormat="1" applyFont="1" applyFill="1" applyAlignment="1">
      <alignment horizontal="right"/>
    </xf>
    <xf numFmtId="164" fontId="28" fillId="20" borderId="0" xfId="49" applyNumberFormat="1" applyFont="1" applyFill="1" applyAlignment="1">
      <alignment horizontal="right"/>
    </xf>
    <xf numFmtId="164" fontId="4" fillId="20" borderId="0" xfId="31" applyNumberFormat="1" applyFont="1" applyFill="1" applyAlignment="1">
      <alignment horizontal="right"/>
    </xf>
    <xf numFmtId="164" fontId="33" fillId="20" borderId="0" xfId="28" applyNumberFormat="1" applyFont="1" applyFill="1"/>
    <xf numFmtId="164" fontId="4" fillId="20" borderId="0" xfId="28" applyNumberFormat="1" applyFill="1"/>
    <xf numFmtId="164" fontId="7" fillId="20" borderId="0" xfId="31" applyNumberFormat="1" applyFont="1" applyFill="1"/>
    <xf numFmtId="165" fontId="7" fillId="20" borderId="0" xfId="31" applyNumberFormat="1" applyFont="1" applyFill="1"/>
    <xf numFmtId="164" fontId="7" fillId="20" borderId="0" xfId="31" applyNumberFormat="1" applyFont="1" applyFill="1" applyAlignment="1">
      <alignment horizontal="right"/>
    </xf>
    <xf numFmtId="164" fontId="27" fillId="20" borderId="0" xfId="31" applyNumberFormat="1" applyFont="1" applyFill="1" applyAlignment="1">
      <alignment horizontal="right"/>
    </xf>
    <xf numFmtId="0" fontId="4" fillId="20" borderId="0" xfId="49" applyFont="1" applyFill="1" applyAlignment="1">
      <alignment horizontal="left" indent="2"/>
    </xf>
    <xf numFmtId="164" fontId="33" fillId="20" borderId="0" xfId="31" applyNumberFormat="1" applyFont="1" applyFill="1"/>
    <xf numFmtId="165" fontId="4" fillId="20" borderId="0" xfId="31" applyNumberFormat="1" applyFont="1" applyFill="1" applyAlignment="1">
      <alignment horizontal="right"/>
    </xf>
    <xf numFmtId="164" fontId="33" fillId="20" borderId="0" xfId="31" applyNumberFormat="1" applyFont="1" applyFill="1" applyAlignment="1">
      <alignment horizontal="center"/>
    </xf>
    <xf numFmtId="164" fontId="4" fillId="20" borderId="0" xfId="28" applyNumberFormat="1" applyFill="1" applyAlignment="1">
      <alignment horizontal="left"/>
    </xf>
    <xf numFmtId="165" fontId="15" fillId="20" borderId="0" xfId="31" applyNumberFormat="1" applyFont="1" applyFill="1" applyAlignment="1">
      <alignment horizontal="right"/>
    </xf>
    <xf numFmtId="170" fontId="8" fillId="20" borderId="0" xfId="49" applyNumberFormat="1" applyFont="1" applyFill="1" applyAlignment="1">
      <alignment horizontal="right"/>
    </xf>
    <xf numFmtId="164" fontId="33" fillId="20" borderId="0" xfId="31" applyNumberFormat="1" applyFont="1" applyFill="1" applyAlignment="1">
      <alignment horizontal="right"/>
    </xf>
    <xf numFmtId="164" fontId="58" fillId="20" borderId="0" xfId="28" applyNumberFormat="1" applyFont="1" applyFill="1"/>
    <xf numFmtId="0" fontId="4" fillId="20" borderId="0" xfId="49" applyFont="1" applyFill="1" applyAlignment="1">
      <alignment horizontal="right"/>
    </xf>
    <xf numFmtId="165" fontId="19" fillId="20" borderId="0" xfId="31" applyNumberFormat="1" applyFont="1" applyFill="1"/>
    <xf numFmtId="0" fontId="19" fillId="20" borderId="0" xfId="49" applyFont="1" applyFill="1"/>
    <xf numFmtId="0" fontId="19" fillId="20" borderId="0" xfId="49" applyFont="1" applyFill="1" applyAlignment="1">
      <alignment horizontal="right"/>
    </xf>
    <xf numFmtId="165" fontId="19" fillId="20" borderId="0" xfId="31" applyNumberFormat="1" applyFont="1" applyFill="1" applyAlignment="1">
      <alignment horizontal="right"/>
    </xf>
    <xf numFmtId="0" fontId="33" fillId="20" borderId="0" xfId="49" applyFont="1" applyFill="1"/>
    <xf numFmtId="164" fontId="3" fillId="20" borderId="0" xfId="31" applyNumberFormat="1" applyFont="1" applyFill="1" applyAlignment="1">
      <alignment horizontal="right"/>
    </xf>
    <xf numFmtId="43" fontId="7" fillId="20" borderId="0" xfId="28" applyFont="1" applyFill="1"/>
    <xf numFmtId="164" fontId="28" fillId="20" borderId="0" xfId="31" applyNumberFormat="1" applyFont="1" applyFill="1" applyAlignment="1">
      <alignment horizontal="right"/>
    </xf>
    <xf numFmtId="164" fontId="4" fillId="20" borderId="0" xfId="28" applyNumberFormat="1" applyFont="1" applyFill="1"/>
    <xf numFmtId="171" fontId="7" fillId="20" borderId="0" xfId="31" applyNumberFormat="1" applyFont="1" applyFill="1" applyAlignment="1">
      <alignment horizontal="right"/>
    </xf>
    <xf numFmtId="171" fontId="27" fillId="20" borderId="0" xfId="31" applyNumberFormat="1" applyFont="1" applyFill="1" applyAlignment="1">
      <alignment horizontal="right"/>
    </xf>
    <xf numFmtId="171" fontId="7" fillId="20" borderId="0" xfId="28" applyNumberFormat="1" applyFont="1" applyFill="1"/>
    <xf numFmtId="165" fontId="3" fillId="20" borderId="0" xfId="31" applyNumberFormat="1" applyFont="1" applyFill="1" applyAlignment="1">
      <alignment horizontal="right"/>
    </xf>
    <xf numFmtId="171" fontId="4" fillId="20" borderId="0" xfId="31" applyNumberFormat="1" applyFont="1" applyFill="1" applyAlignment="1">
      <alignment horizontal="right"/>
    </xf>
    <xf numFmtId="171" fontId="33" fillId="20" borderId="0" xfId="31" applyNumberFormat="1" applyFont="1" applyFill="1"/>
    <xf numFmtId="171" fontId="4" fillId="20" borderId="0" xfId="28" applyNumberFormat="1" applyFill="1"/>
    <xf numFmtId="171" fontId="33" fillId="20" borderId="0" xfId="31" applyNumberFormat="1" applyFont="1" applyFill="1" applyAlignment="1">
      <alignment horizontal="right"/>
    </xf>
    <xf numFmtId="171" fontId="4" fillId="20" borderId="0" xfId="49" applyNumberFormat="1" applyFill="1"/>
    <xf numFmtId="165" fontId="3" fillId="20" borderId="0" xfId="31" applyNumberFormat="1" applyFont="1" applyFill="1" applyAlignment="1">
      <alignment horizontal="center"/>
    </xf>
    <xf numFmtId="0" fontId="4" fillId="20" borderId="0" xfId="49" applyFont="1" applyFill="1" applyAlignment="1">
      <alignment horizontal="left" wrapText="1" indent="2"/>
    </xf>
    <xf numFmtId="171" fontId="15" fillId="20" borderId="0" xfId="49" applyNumberFormat="1" applyFont="1" applyFill="1" applyAlignment="1">
      <alignment horizontal="right"/>
    </xf>
    <xf numFmtId="0" fontId="4" fillId="20" borderId="0" xfId="49" applyFont="1" applyFill="1" applyAlignment="1">
      <alignment horizontal="left" indent="3"/>
    </xf>
    <xf numFmtId="165" fontId="20" fillId="20" borderId="0" xfId="31" applyNumberFormat="1" applyFont="1" applyFill="1" applyAlignment="1">
      <alignment horizontal="right"/>
    </xf>
    <xf numFmtId="171" fontId="4" fillId="20" borderId="0" xfId="49" applyNumberFormat="1" applyFont="1" applyFill="1" applyAlignment="1">
      <alignment horizontal="right"/>
    </xf>
    <xf numFmtId="171" fontId="33" fillId="20" borderId="0" xfId="49" applyNumberFormat="1" applyFont="1" applyFill="1"/>
    <xf numFmtId="164" fontId="4" fillId="20" borderId="0" xfId="49" applyNumberFormat="1" applyFont="1" applyFill="1" applyAlignment="1">
      <alignment horizontal="right"/>
    </xf>
    <xf numFmtId="49" fontId="4" fillId="20" borderId="0" xfId="49" applyNumberFormat="1" applyFont="1" applyFill="1" applyAlignment="1">
      <alignment horizontal="right"/>
    </xf>
    <xf numFmtId="170" fontId="27" fillId="20" borderId="0" xfId="49" applyNumberFormat="1" applyFont="1" applyFill="1" applyAlignment="1">
      <alignment horizontal="right"/>
    </xf>
    <xf numFmtId="171" fontId="27" fillId="20" borderId="0" xfId="49" applyNumberFormat="1" applyFont="1" applyFill="1" applyAlignment="1">
      <alignment horizontal="right"/>
    </xf>
    <xf numFmtId="171" fontId="7" fillId="20" borderId="0" xfId="0" applyNumberFormat="1" applyFont="1" applyFill="1"/>
    <xf numFmtId="171" fontId="7" fillId="20" borderId="0" xfId="49" applyNumberFormat="1" applyFont="1" applyFill="1"/>
    <xf numFmtId="171" fontId="3" fillId="20" borderId="0" xfId="49" applyNumberFormat="1" applyFont="1" applyFill="1" applyAlignment="1">
      <alignment horizontal="right"/>
    </xf>
    <xf numFmtId="171" fontId="3" fillId="20" borderId="0" xfId="31" applyNumberFormat="1" applyFont="1" applyFill="1" applyAlignment="1">
      <alignment horizontal="right"/>
    </xf>
    <xf numFmtId="167" fontId="4" fillId="20" borderId="0" xfId="49" applyNumberFormat="1" applyFont="1" applyFill="1" applyAlignment="1">
      <alignment horizontal="right"/>
    </xf>
    <xf numFmtId="171" fontId="34" fillId="20" borderId="0" xfId="49" applyNumberFormat="1" applyFont="1" applyFill="1" applyAlignment="1">
      <alignment horizontal="right"/>
    </xf>
    <xf numFmtId="171" fontId="28" fillId="20" borderId="0" xfId="31" applyNumberFormat="1" applyFont="1" applyFill="1" applyAlignment="1">
      <alignment horizontal="right"/>
    </xf>
    <xf numFmtId="0" fontId="3" fillId="20" borderId="10" xfId="49" applyFont="1" applyFill="1" applyBorder="1" applyAlignment="1">
      <alignment horizontal="left"/>
    </xf>
    <xf numFmtId="165" fontId="3" fillId="20" borderId="10" xfId="31" applyNumberFormat="1" applyFont="1" applyFill="1" applyBorder="1"/>
    <xf numFmtId="164" fontId="3" fillId="20" borderId="10" xfId="31" applyNumberFormat="1" applyFont="1" applyFill="1" applyBorder="1"/>
    <xf numFmtId="0" fontId="15" fillId="20" borderId="10" xfId="49" applyFont="1" applyFill="1" applyBorder="1" applyAlignment="1">
      <alignment horizontal="right"/>
    </xf>
    <xf numFmtId="171" fontId="15" fillId="20" borderId="10" xfId="49" applyNumberFormat="1" applyFont="1" applyFill="1" applyBorder="1" applyAlignment="1">
      <alignment horizontal="right"/>
    </xf>
    <xf numFmtId="171" fontId="4" fillId="20" borderId="10" xfId="49" applyNumberFormat="1" applyFill="1" applyBorder="1"/>
    <xf numFmtId="0" fontId="3" fillId="20" borderId="0" xfId="49" applyFont="1" applyFill="1" applyAlignment="1">
      <alignment horizontal="right"/>
    </xf>
    <xf numFmtId="0" fontId="4" fillId="20" borderId="0" xfId="49" applyFont="1" applyFill="1" applyAlignment="1">
      <alignment horizontal="center"/>
    </xf>
    <xf numFmtId="171" fontId="4" fillId="20" borderId="0" xfId="49" applyNumberFormat="1" applyFont="1" applyFill="1" applyAlignment="1">
      <alignment horizontal="center"/>
    </xf>
    <xf numFmtId="0" fontId="5" fillId="20" borderId="0" xfId="49" applyFont="1" applyFill="1"/>
    <xf numFmtId="0" fontId="18" fillId="20" borderId="0" xfId="49" applyFont="1" applyFill="1" applyBorder="1" applyAlignment="1">
      <alignment horizontal="left"/>
    </xf>
    <xf numFmtId="0" fontId="4" fillId="20" borderId="0" xfId="49" applyFont="1" applyFill="1" applyBorder="1" applyAlignment="1">
      <alignment horizontal="centerContinuous"/>
    </xf>
    <xf numFmtId="165" fontId="4" fillId="20" borderId="0" xfId="31" applyNumberFormat="1" applyFont="1" applyFill="1" applyBorder="1"/>
    <xf numFmtId="0" fontId="3" fillId="20" borderId="0" xfId="49" applyFont="1" applyFill="1" applyBorder="1" applyAlignment="1">
      <alignment horizontal="left"/>
    </xf>
    <xf numFmtId="165" fontId="3" fillId="20" borderId="0" xfId="31" applyNumberFormat="1" applyFont="1" applyFill="1" applyBorder="1"/>
    <xf numFmtId="0" fontId="15" fillId="20" borderId="0" xfId="49" applyFont="1" applyFill="1" applyBorder="1" applyAlignment="1">
      <alignment horizontal="right"/>
    </xf>
    <xf numFmtId="164" fontId="3" fillId="20" borderId="0" xfId="31" applyNumberFormat="1" applyFont="1" applyFill="1" applyBorder="1"/>
    <xf numFmtId="170" fontId="3" fillId="20" borderId="0" xfId="31" applyNumberFormat="1" applyFont="1" applyFill="1" applyBorder="1"/>
    <xf numFmtId="171" fontId="3" fillId="20" borderId="0" xfId="31" applyNumberFormat="1" applyFont="1" applyFill="1" applyBorder="1"/>
    <xf numFmtId="0" fontId="3" fillId="20" borderId="0" xfId="49" applyFont="1" applyFill="1" applyBorder="1" applyAlignment="1">
      <alignment horizontal="centerContinuous"/>
    </xf>
    <xf numFmtId="0" fontId="3" fillId="20" borderId="0" xfId="49" applyFont="1" applyFill="1" applyBorder="1"/>
    <xf numFmtId="0" fontId="3" fillId="20" borderId="0" xfId="49" applyFont="1" applyFill="1"/>
    <xf numFmtId="170" fontId="7" fillId="20" borderId="0" xfId="49" applyNumberFormat="1" applyFont="1" applyFill="1" applyAlignment="1">
      <alignment horizontal="right"/>
    </xf>
    <xf numFmtId="171" fontId="7" fillId="20" borderId="0" xfId="49" applyNumberFormat="1" applyFont="1" applyFill="1" applyAlignment="1">
      <alignment horizontal="right"/>
    </xf>
    <xf numFmtId="171" fontId="38" fillId="20" borderId="0" xfId="49" applyNumberFormat="1" applyFont="1" applyFill="1" applyAlignment="1">
      <alignment horizontal="right"/>
    </xf>
    <xf numFmtId="170" fontId="4" fillId="20" borderId="0" xfId="49" applyNumberFormat="1" applyFill="1" applyAlignment="1">
      <alignment horizontal="right"/>
    </xf>
    <xf numFmtId="171" fontId="4" fillId="20" borderId="0" xfId="49" applyNumberFormat="1" applyFill="1" applyAlignment="1">
      <alignment horizontal="right"/>
    </xf>
    <xf numFmtId="171" fontId="38" fillId="20" borderId="0" xfId="49" applyNumberFormat="1" applyFont="1" applyFill="1"/>
    <xf numFmtId="164" fontId="3" fillId="20" borderId="0" xfId="49" applyNumberFormat="1" applyFont="1" applyFill="1"/>
    <xf numFmtId="0" fontId="4" fillId="20" borderId="10" xfId="49" applyFont="1" applyFill="1" applyBorder="1"/>
    <xf numFmtId="164" fontId="4" fillId="20" borderId="10" xfId="49" applyNumberFormat="1" applyFont="1" applyFill="1" applyBorder="1" applyAlignment="1">
      <alignment horizontal="center"/>
    </xf>
    <xf numFmtId="170" fontId="4" fillId="20" borderId="10" xfId="49" applyNumberFormat="1" applyFont="1" applyFill="1" applyBorder="1" applyAlignment="1">
      <alignment horizontal="center"/>
    </xf>
    <xf numFmtId="171" fontId="4" fillId="20" borderId="10" xfId="49" applyNumberFormat="1" applyFont="1" applyFill="1" applyBorder="1" applyAlignment="1">
      <alignment horizontal="center"/>
    </xf>
    <xf numFmtId="171" fontId="4" fillId="20" borderId="10" xfId="49" applyNumberFormat="1" applyFont="1" applyFill="1" applyBorder="1"/>
    <xf numFmtId="0" fontId="4" fillId="20" borderId="0" xfId="49" applyFont="1" applyFill="1" applyAlignment="1">
      <alignment horizontal="left"/>
    </xf>
    <xf numFmtId="0" fontId="4" fillId="0" borderId="0" xfId="0" applyFont="1" applyFill="1"/>
    <xf numFmtId="0" fontId="4" fillId="0" borderId="0" xfId="44" applyFont="1" applyFill="1"/>
    <xf numFmtId="0" fontId="77" fillId="0" borderId="0" xfId="46" applyFont="1" applyFill="1"/>
    <xf numFmtId="165" fontId="28" fillId="0" borderId="0" xfId="28" applyNumberFormat="1" applyFont="1" applyFill="1" applyBorder="1"/>
    <xf numFmtId="0" fontId="4" fillId="20" borderId="10" xfId="0" applyFont="1" applyFill="1" applyBorder="1"/>
    <xf numFmtId="165" fontId="4" fillId="0" borderId="0" xfId="28" applyNumberFormat="1" applyFont="1" applyAlignment="1">
      <alignment horizontal="right"/>
    </xf>
    <xf numFmtId="165" fontId="7" fillId="20" borderId="0" xfId="28" applyNumberFormat="1" applyFont="1" applyFill="1" applyBorder="1"/>
    <xf numFmtId="0" fontId="5" fillId="20" borderId="0" xfId="0" applyFont="1" applyFill="1"/>
    <xf numFmtId="165" fontId="4" fillId="20" borderId="10" xfId="28" applyNumberFormat="1" applyFill="1" applyBorder="1"/>
    <xf numFmtId="165" fontId="4" fillId="20" borderId="0" xfId="28" applyNumberFormat="1" applyFill="1" applyBorder="1"/>
    <xf numFmtId="0" fontId="5" fillId="20" borderId="0" xfId="50" applyFont="1" applyFill="1"/>
    <xf numFmtId="0" fontId="4" fillId="20" borderId="0" xfId="50" applyFill="1"/>
    <xf numFmtId="49" fontId="4" fillId="20" borderId="10" xfId="50" applyNumberFormat="1" applyFont="1" applyFill="1" applyBorder="1"/>
    <xf numFmtId="49" fontId="4" fillId="20" borderId="0" xfId="50" applyNumberFormat="1" applyFont="1" applyFill="1" applyBorder="1"/>
    <xf numFmtId="0" fontId="7" fillId="20" borderId="13" xfId="28" applyNumberFormat="1" applyFont="1" applyFill="1" applyBorder="1" applyAlignment="1">
      <alignment horizontal="center"/>
    </xf>
    <xf numFmtId="0" fontId="7" fillId="20" borderId="11" xfId="28" applyNumberFormat="1" applyFont="1" applyFill="1" applyBorder="1" applyAlignment="1">
      <alignment horizontal="centerContinuous"/>
    </xf>
    <xf numFmtId="165" fontId="7" fillId="20" borderId="11" xfId="28" applyNumberFormat="1" applyFont="1" applyFill="1" applyBorder="1" applyAlignment="1">
      <alignment horizontal="centerContinuous"/>
    </xf>
    <xf numFmtId="0" fontId="7" fillId="20" borderId="11" xfId="28" applyNumberFormat="1" applyFont="1" applyFill="1" applyBorder="1" applyAlignment="1">
      <alignment horizontal="center"/>
    </xf>
    <xf numFmtId="0" fontId="7" fillId="20" borderId="10" xfId="50" applyFont="1" applyFill="1" applyBorder="1" applyAlignment="1">
      <alignment horizontal="left"/>
    </xf>
    <xf numFmtId="0" fontId="4" fillId="20" borderId="10" xfId="50" applyFill="1" applyBorder="1"/>
    <xf numFmtId="165" fontId="3" fillId="20" borderId="10" xfId="28" applyNumberFormat="1" applyFont="1" applyFill="1" applyBorder="1" applyAlignment="1">
      <alignment horizontal="right"/>
    </xf>
    <xf numFmtId="0" fontId="7" fillId="20" borderId="0" xfId="50" applyFont="1" applyFill="1" applyBorder="1" applyAlignment="1">
      <alignment horizontal="left"/>
    </xf>
    <xf numFmtId="165" fontId="3" fillId="20" borderId="0" xfId="28" applyNumberFormat="1" applyFont="1" applyFill="1" applyBorder="1"/>
    <xf numFmtId="49" fontId="7" fillId="20" borderId="0" xfId="50" applyNumberFormat="1" applyFont="1" applyFill="1" applyBorder="1"/>
    <xf numFmtId="0" fontId="4" fillId="20" borderId="0" xfId="50" applyFill="1" applyBorder="1"/>
    <xf numFmtId="0" fontId="7" fillId="20" borderId="0" xfId="50" applyFont="1" applyFill="1"/>
    <xf numFmtId="0" fontId="8" fillId="20" borderId="0" xfId="50" applyFont="1" applyFill="1"/>
    <xf numFmtId="0" fontId="4" fillId="20" borderId="0" xfId="50" applyFont="1" applyFill="1"/>
    <xf numFmtId="0" fontId="0" fillId="20" borderId="14" xfId="0" applyFill="1" applyBorder="1"/>
    <xf numFmtId="0" fontId="76" fillId="20" borderId="13" xfId="0" applyFont="1" applyFill="1" applyBorder="1" applyAlignment="1">
      <alignment horizontal="center"/>
    </xf>
    <xf numFmtId="0" fontId="0" fillId="20" borderId="0" xfId="0" applyFill="1" applyBorder="1" applyAlignment="1">
      <alignment horizontal="center"/>
    </xf>
    <xf numFmtId="0" fontId="0" fillId="20" borderId="15" xfId="0" applyFill="1" applyBorder="1"/>
    <xf numFmtId="3" fontId="0" fillId="20" borderId="0" xfId="0" applyNumberFormat="1" applyFill="1" applyBorder="1" applyAlignment="1">
      <alignment horizontal="center"/>
    </xf>
    <xf numFmtId="0" fontId="76" fillId="20" borderId="16" xfId="0" applyFont="1" applyFill="1" applyBorder="1"/>
    <xf numFmtId="3" fontId="76" fillId="20" borderId="10" xfId="0" applyNumberFormat="1" applyFont="1" applyFill="1" applyBorder="1" applyAlignment="1">
      <alignment horizontal="center"/>
    </xf>
    <xf numFmtId="3" fontId="0" fillId="20" borderId="10" xfId="0" applyNumberFormat="1" applyFill="1" applyBorder="1" applyAlignment="1">
      <alignment horizontal="center"/>
    </xf>
    <xf numFmtId="0" fontId="76" fillId="20" borderId="13" xfId="0" applyFont="1" applyFill="1" applyBorder="1"/>
    <xf numFmtId="3" fontId="0" fillId="20" borderId="17" xfId="0" applyNumberFormat="1" applyFill="1" applyBorder="1" applyAlignment="1">
      <alignment horizontal="center"/>
    </xf>
    <xf numFmtId="0" fontId="76" fillId="20" borderId="0" xfId="0" applyFont="1" applyFill="1" applyBorder="1" applyAlignment="1">
      <alignment horizontal="center"/>
    </xf>
    <xf numFmtId="3" fontId="76" fillId="20" borderId="0" xfId="0" applyNumberFormat="1" applyFont="1" applyFill="1" applyBorder="1" applyAlignment="1">
      <alignment horizontal="center"/>
    </xf>
    <xf numFmtId="3" fontId="0" fillId="20" borderId="18" xfId="0" applyNumberFormat="1" applyFill="1" applyBorder="1" applyAlignment="1">
      <alignment horizontal="center"/>
    </xf>
    <xf numFmtId="3" fontId="0" fillId="20" borderId="13" xfId="0" applyNumberFormat="1" applyFill="1" applyBorder="1" applyAlignment="1">
      <alignment horizontal="center"/>
    </xf>
    <xf numFmtId="3" fontId="76" fillId="20" borderId="19" xfId="0" applyNumberFormat="1" applyFont="1" applyFill="1" applyBorder="1" applyAlignment="1">
      <alignment horizontal="center"/>
    </xf>
    <xf numFmtId="0" fontId="58" fillId="0" borderId="0" xfId="0" applyFont="1"/>
    <xf numFmtId="0" fontId="4" fillId="0" borderId="20" xfId="0" applyFont="1" applyBorder="1" applyAlignment="1">
      <alignment vertical="center"/>
    </xf>
    <xf numFmtId="0" fontId="7" fillId="0" borderId="0" xfId="0" applyFont="1" applyAlignment="1">
      <alignment vertical="center"/>
    </xf>
    <xf numFmtId="0" fontId="7" fillId="20" borderId="0" xfId="0" applyFont="1" applyFill="1" applyAlignment="1">
      <alignment horizontal="center"/>
    </xf>
    <xf numFmtId="0" fontId="0" fillId="20" borderId="13" xfId="0" applyFill="1" applyBorder="1"/>
    <xf numFmtId="0" fontId="76" fillId="20" borderId="0" xfId="0" applyFont="1" applyFill="1" applyBorder="1"/>
    <xf numFmtId="0" fontId="76" fillId="20" borderId="10" xfId="0" applyFont="1" applyFill="1" applyBorder="1"/>
    <xf numFmtId="165" fontId="4" fillId="20" borderId="10" xfId="28" applyNumberFormat="1" applyFill="1" applyBorder="1"/>
    <xf numFmtId="0" fontId="83" fillId="20" borderId="0" xfId="0" applyFont="1" applyFill="1" applyBorder="1" applyAlignment="1"/>
    <xf numFmtId="0" fontId="7" fillId="0" borderId="0" xfId="0" applyFont="1" applyAlignment="1">
      <alignment horizontal="center" vertical="center"/>
    </xf>
    <xf numFmtId="0" fontId="4" fillId="0" borderId="0" xfId="0" applyFont="1" applyAlignment="1">
      <alignment vertical="center" wrapText="1"/>
    </xf>
    <xf numFmtId="0" fontId="58" fillId="20" borderId="0" xfId="0" applyFont="1" applyFill="1"/>
    <xf numFmtId="0" fontId="4" fillId="20" borderId="20" xfId="0" applyFont="1" applyFill="1" applyBorder="1" applyAlignment="1">
      <alignment vertical="center"/>
    </xf>
    <xf numFmtId="0" fontId="36" fillId="20" borderId="20" xfId="0" applyFont="1" applyFill="1" applyBorder="1" applyAlignment="1">
      <alignment vertical="center"/>
    </xf>
    <xf numFmtId="0" fontId="36" fillId="20" borderId="20" xfId="0" applyFont="1" applyFill="1" applyBorder="1" applyAlignment="1">
      <alignment horizontal="right" vertical="center"/>
    </xf>
    <xf numFmtId="0" fontId="4" fillId="20" borderId="21" xfId="0" applyFont="1" applyFill="1" applyBorder="1" applyAlignment="1">
      <alignment vertical="center"/>
    </xf>
    <xf numFmtId="0" fontId="4" fillId="20" borderId="0" xfId="0" applyFont="1" applyFill="1" applyAlignment="1">
      <alignment horizontal="right" vertical="center"/>
    </xf>
    <xf numFmtId="0" fontId="4" fillId="20" borderId="22" xfId="0" applyFont="1" applyFill="1" applyBorder="1" applyAlignment="1">
      <alignment vertical="center"/>
    </xf>
    <xf numFmtId="0" fontId="4" fillId="20" borderId="20" xfId="0" applyFont="1" applyFill="1" applyBorder="1" applyAlignment="1">
      <alignment horizontal="right" vertical="center"/>
    </xf>
    <xf numFmtId="0" fontId="35" fillId="20" borderId="0" xfId="0" applyFont="1" applyFill="1"/>
    <xf numFmtId="0" fontId="35" fillId="20" borderId="0" xfId="0" applyFont="1" applyFill="1" applyBorder="1"/>
    <xf numFmtId="37" fontId="35" fillId="20" borderId="0" xfId="0" applyNumberFormat="1" applyFont="1" applyFill="1" applyBorder="1"/>
    <xf numFmtId="37" fontId="35" fillId="20" borderId="0" xfId="28" applyNumberFormat="1" applyFont="1" applyFill="1" applyBorder="1"/>
    <xf numFmtId="37" fontId="35" fillId="20" borderId="0" xfId="28" applyNumberFormat="1" applyFont="1" applyFill="1"/>
    <xf numFmtId="0" fontId="8" fillId="20" borderId="0" xfId="0" applyFont="1" applyFill="1"/>
    <xf numFmtId="0" fontId="35" fillId="20" borderId="10" xfId="0" applyFont="1" applyFill="1" applyBorder="1"/>
    <xf numFmtId="37" fontId="35" fillId="20" borderId="10" xfId="0" applyNumberFormat="1" applyFont="1" applyFill="1" applyBorder="1"/>
    <xf numFmtId="37" fontId="35" fillId="20" borderId="10" xfId="28" applyNumberFormat="1" applyFont="1" applyFill="1" applyBorder="1"/>
    <xf numFmtId="0" fontId="36" fillId="20" borderId="11" xfId="0" applyFont="1" applyFill="1" applyBorder="1"/>
    <xf numFmtId="0" fontId="37" fillId="20" borderId="11" xfId="0" applyFont="1" applyFill="1" applyBorder="1"/>
    <xf numFmtId="37" fontId="37" fillId="20" borderId="11" xfId="28" applyNumberFormat="1" applyFont="1" applyFill="1" applyBorder="1"/>
    <xf numFmtId="0" fontId="36" fillId="20" borderId="23" xfId="0" applyFont="1" applyFill="1" applyBorder="1" applyAlignment="1"/>
    <xf numFmtId="0" fontId="37" fillId="20" borderId="0" xfId="0" applyFont="1" applyFill="1"/>
    <xf numFmtId="37" fontId="37" fillId="20" borderId="0" xfId="0" applyNumberFormat="1" applyFont="1" applyFill="1" applyBorder="1"/>
    <xf numFmtId="37" fontId="37" fillId="20" borderId="0" xfId="28" applyNumberFormat="1" applyFont="1" applyFill="1" applyBorder="1"/>
    <xf numFmtId="37" fontId="37" fillId="20" borderId="15" xfId="28" applyNumberFormat="1" applyFont="1" applyFill="1" applyBorder="1"/>
    <xf numFmtId="0" fontId="37" fillId="20" borderId="0" xfId="0" applyFont="1" applyFill="1" applyBorder="1"/>
    <xf numFmtId="37" fontId="4" fillId="20" borderId="0" xfId="0" applyNumberFormat="1" applyFont="1" applyFill="1" applyBorder="1"/>
    <xf numFmtId="37" fontId="4" fillId="20" borderId="0" xfId="28" applyNumberFormat="1" applyFont="1" applyFill="1" applyBorder="1"/>
    <xf numFmtId="37" fontId="4" fillId="20" borderId="15" xfId="28" applyNumberFormat="1" applyFont="1" applyFill="1" applyBorder="1"/>
    <xf numFmtId="37" fontId="4" fillId="20" borderId="0" xfId="28" applyNumberFormat="1" applyFont="1" applyFill="1"/>
    <xf numFmtId="0" fontId="3" fillId="20" borderId="0" xfId="0" applyFont="1" applyFill="1" applyBorder="1"/>
    <xf numFmtId="37" fontId="4" fillId="20" borderId="0" xfId="28" applyNumberFormat="1" applyFont="1" applyFill="1" applyBorder="1" applyAlignment="1">
      <alignment horizontal="right"/>
    </xf>
    <xf numFmtId="37" fontId="4" fillId="20" borderId="10" xfId="0" applyNumberFormat="1" applyFont="1" applyFill="1" applyBorder="1"/>
    <xf numFmtId="37" fontId="4" fillId="20" borderId="10" xfId="28" applyNumberFormat="1" applyFont="1" applyFill="1" applyBorder="1"/>
    <xf numFmtId="37" fontId="4" fillId="20" borderId="16" xfId="28" applyNumberFormat="1" applyFont="1" applyFill="1" applyBorder="1"/>
    <xf numFmtId="0" fontId="0" fillId="20" borderId="16" xfId="0" applyFill="1" applyBorder="1"/>
    <xf numFmtId="0" fontId="35" fillId="20" borderId="0" xfId="0" applyFont="1" applyFill="1" applyAlignment="1"/>
    <xf numFmtId="0" fontId="11" fillId="20" borderId="0" xfId="0" applyFont="1" applyFill="1" applyAlignment="1">
      <alignment horizontal="centerContinuous"/>
    </xf>
    <xf numFmtId="0" fontId="66" fillId="20" borderId="0" xfId="0" applyFont="1" applyFill="1"/>
    <xf numFmtId="0" fontId="7" fillId="20" borderId="0" xfId="0" applyFont="1" applyFill="1" applyAlignment="1">
      <alignment horizontal="centerContinuous"/>
    </xf>
    <xf numFmtId="169" fontId="7" fillId="20" borderId="0" xfId="0" applyNumberFormat="1" applyFont="1" applyFill="1" applyBorder="1"/>
    <xf numFmtId="0" fontId="4" fillId="20" borderId="0" xfId="0" applyFont="1" applyFill="1" applyBorder="1" applyAlignment="1">
      <alignment vertical="center"/>
    </xf>
    <xf numFmtId="0" fontId="36" fillId="20" borderId="0" xfId="0" applyFont="1" applyFill="1" applyBorder="1" applyAlignment="1">
      <alignment horizontal="right" vertical="center"/>
    </xf>
    <xf numFmtId="0" fontId="4" fillId="20" borderId="0" xfId="0" applyFont="1" applyFill="1" applyBorder="1" applyAlignment="1">
      <alignment horizontal="right" vertical="center"/>
    </xf>
    <xf numFmtId="0" fontId="4" fillId="20" borderId="0" xfId="0" applyFont="1" applyFill="1" applyAlignment="1">
      <alignment vertical="center" wrapText="1"/>
    </xf>
    <xf numFmtId="0" fontId="36" fillId="20" borderId="11" xfId="0" applyFont="1" applyFill="1" applyBorder="1" applyAlignment="1"/>
    <xf numFmtId="0" fontId="36" fillId="20" borderId="11" xfId="0" applyFont="1" applyFill="1" applyBorder="1" applyAlignment="1">
      <alignment horizontal="right"/>
    </xf>
    <xf numFmtId="0" fontId="69" fillId="0" borderId="0" xfId="44" applyFont="1" applyFill="1" applyBorder="1" applyAlignment="1">
      <alignment vertical="center" wrapText="1"/>
    </xf>
    <xf numFmtId="0" fontId="68" fillId="0" borderId="0" xfId="44" applyFont="1" applyFill="1" applyBorder="1" applyAlignment="1">
      <alignment vertical="center" wrapText="1"/>
    </xf>
    <xf numFmtId="0" fontId="4" fillId="0" borderId="0" xfId="0" applyFont="1" applyFill="1" applyAlignment="1">
      <alignment horizontal="right"/>
    </xf>
    <xf numFmtId="0" fontId="21" fillId="0" borderId="0" xfId="0" applyFont="1" applyFill="1" applyAlignment="1">
      <alignment horizontal="right"/>
    </xf>
    <xf numFmtId="0" fontId="5" fillId="0" borderId="0" xfId="0" applyFont="1" applyFill="1" applyAlignment="1">
      <alignment horizontal="center"/>
    </xf>
    <xf numFmtId="0" fontId="5" fillId="0" borderId="0" xfId="0" applyFont="1" applyFill="1" applyAlignment="1">
      <alignment horizontal="right"/>
    </xf>
    <xf numFmtId="0" fontId="5" fillId="0" borderId="0" xfId="0" applyFont="1" applyFill="1" applyAlignment="1">
      <alignment horizontal="left"/>
    </xf>
    <xf numFmtId="0" fontId="7" fillId="0" borderId="0" xfId="0" applyFont="1" applyFill="1" applyAlignment="1">
      <alignment horizontal="center"/>
    </xf>
    <xf numFmtId="0" fontId="4" fillId="0" borderId="0" xfId="0" applyFont="1" applyFill="1" applyBorder="1" applyAlignment="1">
      <alignment horizontal="center"/>
    </xf>
    <xf numFmtId="0" fontId="4" fillId="0" borderId="0" xfId="0" applyFont="1" applyFill="1" applyAlignment="1">
      <alignment horizontal="center"/>
    </xf>
    <xf numFmtId="0" fontId="57" fillId="0" borderId="0" xfId="0" applyFont="1" applyFill="1"/>
    <xf numFmtId="0" fontId="4" fillId="0" borderId="13" xfId="0" applyFont="1" applyFill="1" applyBorder="1" applyAlignment="1">
      <alignment horizontal="center"/>
    </xf>
    <xf numFmtId="0" fontId="4" fillId="0" borderId="0" xfId="0" applyFont="1" applyFill="1" applyBorder="1" applyAlignment="1">
      <alignment horizontal="right"/>
    </xf>
    <xf numFmtId="0" fontId="4" fillId="0" borderId="0" xfId="0" applyFont="1" applyFill="1" applyBorder="1"/>
    <xf numFmtId="0" fontId="7" fillId="0" borderId="0" xfId="44" applyFont="1" applyFill="1" applyBorder="1" applyAlignment="1">
      <alignment horizontal="left" wrapText="1"/>
    </xf>
    <xf numFmtId="165" fontId="10" fillId="0" borderId="0" xfId="28" applyNumberFormat="1" applyFont="1" applyFill="1" applyBorder="1" applyAlignment="1">
      <alignment horizontal="center"/>
    </xf>
    <xf numFmtId="165" fontId="7" fillId="0" borderId="0" xfId="0" applyNumberFormat="1" applyFont="1" applyFill="1" applyBorder="1" applyAlignment="1">
      <alignment horizontal="center" vertical="center"/>
    </xf>
    <xf numFmtId="0" fontId="4" fillId="0" borderId="0" xfId="44" applyFont="1" applyFill="1" applyBorder="1" applyAlignment="1">
      <alignment horizontal="left"/>
    </xf>
    <xf numFmtId="165" fontId="10" fillId="0" borderId="0" xfId="29" applyNumberFormat="1" applyFont="1" applyFill="1" applyBorder="1" applyAlignment="1">
      <alignment horizontal="center"/>
    </xf>
    <xf numFmtId="165" fontId="62" fillId="0" borderId="0" xfId="29" applyNumberFormat="1" applyFont="1" applyFill="1" applyBorder="1" applyAlignment="1">
      <alignment horizontal="center"/>
    </xf>
    <xf numFmtId="0" fontId="4" fillId="0" borderId="0" xfId="44" applyFont="1" applyFill="1" applyBorder="1" applyAlignment="1">
      <alignment horizontal="right"/>
    </xf>
    <xf numFmtId="0" fontId="4" fillId="0" borderId="0" xfId="44" applyFont="1" applyFill="1" applyBorder="1"/>
    <xf numFmtId="0" fontId="14" fillId="0" borderId="0" xfId="44" applyFont="1" applyFill="1"/>
    <xf numFmtId="0" fontId="7" fillId="0" borderId="0" xfId="0" applyFont="1" applyFill="1" applyBorder="1" applyAlignment="1">
      <alignment horizontal="left"/>
    </xf>
    <xf numFmtId="165" fontId="7" fillId="0" borderId="0" xfId="28" applyNumberFormat="1" applyFont="1" applyFill="1" applyBorder="1" applyAlignment="1">
      <alignment horizontal="center"/>
    </xf>
    <xf numFmtId="165" fontId="7" fillId="0" borderId="0" xfId="28" applyNumberFormat="1" applyFont="1" applyFill="1" applyBorder="1"/>
    <xf numFmtId="165" fontId="4" fillId="0" borderId="0" xfId="28" applyNumberFormat="1" applyFont="1" applyFill="1"/>
    <xf numFmtId="0" fontId="4" fillId="0" borderId="0" xfId="0" applyFont="1" applyFill="1" applyBorder="1" applyAlignment="1">
      <alignment horizontal="left"/>
    </xf>
    <xf numFmtId="165" fontId="4" fillId="0" borderId="0" xfId="28" applyNumberFormat="1" applyFont="1" applyFill="1" applyBorder="1" applyAlignment="1">
      <alignment horizontal="center"/>
    </xf>
    <xf numFmtId="165" fontId="14" fillId="0" borderId="0" xfId="0" applyNumberFormat="1" applyFont="1" applyFill="1"/>
    <xf numFmtId="0" fontId="14" fillId="0" borderId="0" xfId="0" applyFont="1" applyFill="1" applyAlignment="1">
      <alignment horizontal="center"/>
    </xf>
    <xf numFmtId="165" fontId="7" fillId="0" borderId="0" xfId="0" applyNumberFormat="1" applyFont="1" applyFill="1" applyBorder="1" applyAlignment="1">
      <alignment horizontal="center"/>
    </xf>
    <xf numFmtId="1" fontId="4" fillId="0" borderId="0" xfId="44" applyNumberFormat="1" applyFont="1" applyFill="1"/>
    <xf numFmtId="0" fontId="7" fillId="0" borderId="0" xfId="0" applyFont="1" applyFill="1" applyBorder="1" applyAlignment="1">
      <alignment horizontal="center"/>
    </xf>
    <xf numFmtId="0" fontId="4" fillId="0" borderId="11" xfId="0" applyFont="1" applyFill="1" applyBorder="1" applyAlignment="1">
      <alignment horizontal="center"/>
    </xf>
    <xf numFmtId="0" fontId="7" fillId="0" borderId="0" xfId="0" applyFont="1" applyFill="1" applyBorder="1" applyAlignment="1">
      <alignment horizontal="center" vertical="top"/>
    </xf>
    <xf numFmtId="0" fontId="4" fillId="0" borderId="0" xfId="44" applyFont="1" applyFill="1" applyBorder="1" applyAlignment="1">
      <alignment horizontal="center"/>
    </xf>
    <xf numFmtId="0" fontId="4" fillId="0" borderId="0" xfId="44" applyFont="1" applyFill="1" applyAlignment="1">
      <alignment horizontal="center"/>
    </xf>
    <xf numFmtId="0" fontId="4" fillId="0" borderId="0" xfId="44" applyFont="1" applyFill="1" applyAlignment="1">
      <alignment horizontal="right"/>
    </xf>
    <xf numFmtId="0" fontId="7" fillId="0" borderId="0" xfId="44" applyFont="1" applyFill="1" applyBorder="1" applyAlignment="1">
      <alignment horizontal="right"/>
    </xf>
    <xf numFmtId="0" fontId="4" fillId="0" borderId="10" xfId="0" applyFont="1" applyFill="1" applyBorder="1"/>
    <xf numFmtId="0" fontId="4" fillId="0" borderId="10" xfId="0" applyFont="1" applyFill="1" applyBorder="1" applyAlignment="1"/>
    <xf numFmtId="0" fontId="4" fillId="0" borderId="10" xfId="0" applyFont="1" applyFill="1" applyBorder="1" applyAlignment="1">
      <alignment horizontal="center"/>
    </xf>
    <xf numFmtId="0" fontId="4" fillId="0" borderId="10" xfId="0" applyFont="1" applyFill="1" applyBorder="1" applyAlignment="1">
      <alignment horizontal="right"/>
    </xf>
    <xf numFmtId="0" fontId="4" fillId="0" borderId="0" xfId="0" applyFont="1" applyFill="1" applyBorder="1" applyAlignment="1"/>
    <xf numFmtId="0" fontId="4" fillId="0" borderId="0" xfId="0" applyFont="1" applyFill="1" applyBorder="1" applyAlignment="1">
      <alignment vertical="top"/>
    </xf>
    <xf numFmtId="0" fontId="10" fillId="0" borderId="0" xfId="0" applyFont="1" applyFill="1" applyBorder="1"/>
    <xf numFmtId="0" fontId="10" fillId="0" borderId="0" xfId="0" applyFont="1" applyFill="1"/>
    <xf numFmtId="0" fontId="4" fillId="0" borderId="0" xfId="0" applyFont="1" applyFill="1" applyAlignment="1"/>
    <xf numFmtId="0" fontId="5" fillId="0" borderId="0" xfId="0" applyFont="1" applyFill="1" applyAlignment="1"/>
    <xf numFmtId="0" fontId="61" fillId="0" borderId="0" xfId="46" applyFont="1" applyFill="1"/>
    <xf numFmtId="0" fontId="61" fillId="0" borderId="0" xfId="46" applyFont="1" applyFill="1" applyAlignment="1">
      <alignment vertical="center"/>
    </xf>
    <xf numFmtId="0" fontId="7" fillId="0" borderId="0" xfId="0" applyFont="1" applyFill="1" applyAlignment="1">
      <alignment vertical="top" wrapText="1"/>
    </xf>
    <xf numFmtId="0" fontId="27" fillId="0" borderId="11" xfId="46" applyFont="1" applyFill="1" applyBorder="1"/>
    <xf numFmtId="0" fontId="78" fillId="0" borderId="11" xfId="46" applyFont="1" applyFill="1" applyBorder="1"/>
    <xf numFmtId="0" fontId="27" fillId="0" borderId="11" xfId="46" applyFont="1" applyFill="1" applyBorder="1" applyAlignment="1">
      <alignment horizontal="right"/>
    </xf>
    <xf numFmtId="0" fontId="27" fillId="0" borderId="0" xfId="46" applyFont="1" applyFill="1" applyBorder="1"/>
    <xf numFmtId="0" fontId="78" fillId="0" borderId="0" xfId="46" applyFont="1" applyFill="1"/>
    <xf numFmtId="165" fontId="27" fillId="0" borderId="0" xfId="28" applyNumberFormat="1" applyFont="1" applyFill="1" applyBorder="1"/>
    <xf numFmtId="165" fontId="61" fillId="0" borderId="0" xfId="28" applyNumberFormat="1" applyFont="1" applyFill="1" applyBorder="1"/>
    <xf numFmtId="0" fontId="4" fillId="0" borderId="0" xfId="44" applyFont="1" applyFill="1" applyBorder="1" applyAlignment="1">
      <alignment horizontal="left" indent="2"/>
    </xf>
    <xf numFmtId="165" fontId="62" fillId="0" borderId="0" xfId="28" applyNumberFormat="1" applyFont="1" applyFill="1" applyBorder="1"/>
    <xf numFmtId="0" fontId="4" fillId="0" borderId="0" xfId="0" applyFont="1" applyFill="1" applyBorder="1" applyAlignment="1">
      <alignment horizontal="left" indent="2"/>
    </xf>
    <xf numFmtId="0" fontId="78" fillId="0" borderId="0" xfId="46" applyFont="1" applyFill="1" applyBorder="1"/>
    <xf numFmtId="37" fontId="7" fillId="0" borderId="0" xfId="28" applyNumberFormat="1" applyFont="1" applyFill="1"/>
    <xf numFmtId="37" fontId="12" fillId="0" borderId="0" xfId="28" applyNumberFormat="1" applyFont="1" applyFill="1"/>
    <xf numFmtId="0" fontId="71" fillId="0" borderId="0" xfId="0" applyFont="1" applyFill="1"/>
    <xf numFmtId="165" fontId="71" fillId="0" borderId="0" xfId="0" applyNumberFormat="1" applyFont="1" applyFill="1"/>
    <xf numFmtId="0" fontId="94" fillId="0" borderId="0" xfId="46" applyFont="1" applyFill="1"/>
    <xf numFmtId="0" fontId="78" fillId="0" borderId="10" xfId="46" applyFont="1" applyFill="1" applyBorder="1"/>
    <xf numFmtId="165" fontId="28" fillId="0" borderId="10" xfId="28" applyNumberFormat="1" applyFont="1" applyFill="1" applyBorder="1"/>
    <xf numFmtId="0" fontId="77" fillId="0" borderId="10" xfId="46" applyFont="1" applyFill="1" applyBorder="1"/>
    <xf numFmtId="0" fontId="77" fillId="0" borderId="0" xfId="46" applyFont="1" applyFill="1" applyAlignment="1">
      <alignment horizontal="left"/>
    </xf>
    <xf numFmtId="0" fontId="77" fillId="0" borderId="0" xfId="46" applyFont="1" applyFill="1" applyAlignment="1">
      <alignment wrapText="1"/>
    </xf>
    <xf numFmtId="0" fontId="80" fillId="0" borderId="0" xfId="46" applyFont="1" applyFill="1" applyAlignment="1">
      <alignment vertical="top"/>
    </xf>
    <xf numFmtId="0" fontId="78" fillId="0" borderId="0" xfId="46" applyNumberFormat="1" applyFont="1" applyFill="1" applyBorder="1" applyAlignment="1">
      <alignment horizontal="center" wrapText="1"/>
    </xf>
    <xf numFmtId="0" fontId="79" fillId="0" borderId="0" xfId="46" applyFont="1" applyFill="1" applyBorder="1" applyAlignment="1">
      <alignment horizontal="center" wrapText="1"/>
    </xf>
    <xf numFmtId="0" fontId="78" fillId="0" borderId="12" xfId="46" applyFont="1" applyFill="1" applyBorder="1"/>
    <xf numFmtId="165" fontId="78" fillId="0" borderId="12" xfId="28" applyNumberFormat="1" applyFont="1" applyFill="1" applyBorder="1"/>
    <xf numFmtId="165" fontId="79" fillId="0" borderId="12" xfId="28" applyNumberFormat="1" applyFont="1" applyFill="1" applyBorder="1"/>
    <xf numFmtId="0" fontId="79" fillId="0" borderId="12" xfId="46" applyFont="1" applyFill="1" applyBorder="1"/>
    <xf numFmtId="165" fontId="78" fillId="0" borderId="12" xfId="28" quotePrefix="1" applyNumberFormat="1" applyFont="1" applyFill="1" applyBorder="1"/>
    <xf numFmtId="0" fontId="7" fillId="0" borderId="0" xfId="0" applyFont="1" applyFill="1"/>
    <xf numFmtId="0" fontId="12" fillId="0" borderId="0" xfId="0" applyFont="1" applyFill="1" applyAlignment="1">
      <alignment horizontal="left"/>
    </xf>
    <xf numFmtId="0" fontId="14" fillId="0" borderId="0" xfId="0" applyFont="1" applyFill="1" applyAlignment="1">
      <alignment horizontal="right"/>
    </xf>
    <xf numFmtId="0" fontId="0" fillId="0" borderId="11" xfId="0" applyFill="1" applyBorder="1"/>
    <xf numFmtId="0" fontId="3" fillId="0" borderId="11" xfId="0" applyFont="1" applyFill="1" applyBorder="1" applyAlignment="1">
      <alignment horizontal="center"/>
    </xf>
    <xf numFmtId="0" fontId="3" fillId="0" borderId="11" xfId="0" applyFont="1" applyFill="1" applyBorder="1" applyAlignment="1">
      <alignment horizontal="right"/>
    </xf>
    <xf numFmtId="37" fontId="0" fillId="0" borderId="0" xfId="0" applyNumberFormat="1" applyFill="1" applyBorder="1"/>
    <xf numFmtId="37" fontId="4" fillId="0" borderId="0" xfId="28" applyNumberFormat="1" applyFont="1" applyFill="1" applyBorder="1"/>
    <xf numFmtId="37" fontId="7" fillId="0" borderId="0" xfId="28" applyNumberFormat="1" applyFont="1" applyFill="1" applyBorder="1"/>
    <xf numFmtId="165" fontId="0" fillId="0" borderId="0" xfId="28" applyNumberFormat="1" applyFont="1" applyFill="1"/>
    <xf numFmtId="165" fontId="0" fillId="0" borderId="0" xfId="0" applyNumberFormat="1" applyFill="1"/>
    <xf numFmtId="37" fontId="7" fillId="0" borderId="0" xfId="0" applyNumberFormat="1" applyFont="1" applyFill="1" applyBorder="1"/>
    <xf numFmtId="0" fontId="14" fillId="0" borderId="0" xfId="0" applyFont="1" applyFill="1" applyBorder="1"/>
    <xf numFmtId="39" fontId="4" fillId="0" borderId="0" xfId="0" applyNumberFormat="1" applyFont="1" applyFill="1" applyBorder="1"/>
    <xf numFmtId="39" fontId="7" fillId="0" borderId="0" xfId="0" applyNumberFormat="1" applyFont="1" applyFill="1" applyBorder="1"/>
    <xf numFmtId="37" fontId="22" fillId="0" borderId="0" xfId="0" applyNumberFormat="1" applyFont="1" applyFill="1" applyBorder="1"/>
    <xf numFmtId="37" fontId="59" fillId="0" borderId="0" xfId="28" applyNumberFormat="1" applyFont="1" applyFill="1" applyBorder="1"/>
    <xf numFmtId="0" fontId="0" fillId="0" borderId="0" xfId="0" applyFill="1" applyAlignment="1">
      <alignment horizontal="centerContinuous"/>
    </xf>
    <xf numFmtId="166" fontId="0" fillId="0" borderId="0" xfId="0" applyNumberFormat="1" applyFill="1" applyAlignment="1"/>
    <xf numFmtId="39" fontId="0" fillId="0" borderId="0" xfId="0" applyNumberFormat="1" applyFill="1" applyBorder="1"/>
    <xf numFmtId="165" fontId="7" fillId="0" borderId="0" xfId="0" applyNumberFormat="1" applyFont="1" applyFill="1"/>
    <xf numFmtId="37" fontId="0" fillId="0" borderId="0" xfId="0" applyNumberFormat="1" applyFill="1"/>
    <xf numFmtId="0" fontId="14" fillId="0" borderId="10" xfId="0" applyFont="1" applyFill="1" applyBorder="1"/>
    <xf numFmtId="39" fontId="0" fillId="0" borderId="10" xfId="0" applyNumberFormat="1" applyFill="1" applyBorder="1"/>
    <xf numFmtId="39" fontId="7" fillId="0" borderId="10" xfId="0" applyNumberFormat="1" applyFont="1" applyFill="1" applyBorder="1"/>
    <xf numFmtId="37" fontId="0" fillId="0" borderId="10" xfId="0" applyNumberFormat="1" applyFill="1" applyBorder="1"/>
    <xf numFmtId="37" fontId="0" fillId="0" borderId="0" xfId="0" applyNumberFormat="1" applyFill="1" applyBorder="1" applyAlignment="1">
      <alignment horizontal="right"/>
    </xf>
    <xf numFmtId="37" fontId="7" fillId="0" borderId="0" xfId="0" applyNumberFormat="1" applyFont="1" applyFill="1" applyBorder="1" applyAlignment="1">
      <alignment horizontal="right"/>
    </xf>
    <xf numFmtId="165" fontId="4" fillId="0" borderId="0" xfId="28" applyNumberFormat="1" applyFont="1" applyFill="1" applyAlignment="1">
      <alignment horizontal="center"/>
    </xf>
    <xf numFmtId="165" fontId="7" fillId="0" borderId="0" xfId="28" applyNumberFormat="1" applyFont="1" applyFill="1" applyAlignment="1">
      <alignment horizontal="center"/>
    </xf>
    <xf numFmtId="37" fontId="7" fillId="0" borderId="0" xfId="0" applyNumberFormat="1" applyFont="1" applyFill="1"/>
    <xf numFmtId="165" fontId="4" fillId="0" borderId="10" xfId="28" applyNumberFormat="1" applyFont="1" applyFill="1" applyBorder="1" applyAlignment="1">
      <alignment horizontal="center"/>
    </xf>
    <xf numFmtId="39" fontId="4" fillId="0" borderId="10" xfId="28" applyNumberFormat="1" applyFont="1" applyFill="1" applyBorder="1"/>
    <xf numFmtId="39" fontId="7" fillId="0" borderId="10" xfId="28" applyNumberFormat="1" applyFont="1" applyFill="1" applyBorder="1"/>
    <xf numFmtId="39" fontId="4" fillId="0" borderId="0" xfId="28" applyNumberFormat="1" applyFont="1" applyFill="1" applyBorder="1"/>
    <xf numFmtId="39" fontId="7" fillId="0" borderId="0" xfId="28" applyNumberFormat="1" applyFont="1" applyFill="1" applyBorder="1"/>
    <xf numFmtId="37" fontId="4" fillId="0" borderId="0" xfId="0" applyNumberFormat="1" applyFont="1" applyFill="1" applyBorder="1"/>
    <xf numFmtId="0" fontId="23" fillId="0" borderId="0" xfId="0" applyFont="1" applyFill="1" applyAlignment="1">
      <alignment horizontal="left"/>
    </xf>
    <xf numFmtId="37" fontId="60" fillId="0" borderId="0" xfId="0" applyNumberFormat="1" applyFont="1" applyFill="1" applyAlignment="1">
      <alignment horizontal="left"/>
    </xf>
    <xf numFmtId="0" fontId="4" fillId="0" borderId="0" xfId="0" applyFont="1" applyFill="1" applyAlignment="1">
      <alignment vertical="top"/>
    </xf>
    <xf numFmtId="0" fontId="7" fillId="0" borderId="0" xfId="0" applyFont="1" applyFill="1" applyAlignment="1">
      <alignment horizontal="centerContinuous"/>
    </xf>
    <xf numFmtId="0" fontId="0" fillId="0" borderId="0" xfId="0" applyFill="1" applyAlignment="1">
      <alignment horizontal="center"/>
    </xf>
    <xf numFmtId="0" fontId="12" fillId="0" borderId="0" xfId="0" applyFont="1" applyFill="1" applyAlignment="1">
      <alignment vertical="top" wrapText="1"/>
    </xf>
    <xf numFmtId="0" fontId="7" fillId="0" borderId="0" xfId="0" applyFont="1" applyFill="1" applyAlignment="1">
      <alignment wrapText="1"/>
    </xf>
    <xf numFmtId="0" fontId="27" fillId="0" borderId="12" xfId="46" applyFont="1" applyFill="1" applyBorder="1"/>
    <xf numFmtId="0" fontId="27" fillId="0" borderId="12" xfId="46" applyFont="1" applyFill="1" applyBorder="1" applyAlignment="1">
      <alignment horizontal="center"/>
    </xf>
    <xf numFmtId="165" fontId="27" fillId="0" borderId="12" xfId="28" applyNumberFormat="1" applyFont="1" applyFill="1" applyBorder="1"/>
    <xf numFmtId="0" fontId="78" fillId="0" borderId="12" xfId="46" applyFont="1" applyFill="1" applyBorder="1" applyAlignment="1">
      <alignment horizontal="left" indent="2"/>
    </xf>
    <xf numFmtId="165" fontId="77" fillId="0" borderId="0" xfId="46" applyNumberFormat="1" applyFont="1" applyFill="1"/>
    <xf numFmtId="0" fontId="91" fillId="0" borderId="0" xfId="46" applyFont="1" applyFill="1"/>
    <xf numFmtId="165" fontId="28" fillId="0" borderId="12" xfId="28" applyNumberFormat="1" applyFont="1" applyFill="1" applyBorder="1"/>
    <xf numFmtId="37" fontId="7" fillId="0" borderId="12" xfId="28" applyNumberFormat="1" applyFont="1" applyFill="1" applyBorder="1"/>
    <xf numFmtId="165" fontId="4" fillId="0" borderId="12" xfId="28" applyNumberFormat="1" applyFont="1" applyFill="1" applyBorder="1"/>
    <xf numFmtId="165" fontId="4" fillId="0" borderId="12" xfId="28" applyNumberFormat="1" applyFont="1" applyFill="1" applyBorder="1" applyAlignment="1">
      <alignment horizontal="center"/>
    </xf>
    <xf numFmtId="0" fontId="78" fillId="0" borderId="0" xfId="46" applyFont="1" applyFill="1" applyAlignment="1">
      <alignment horizontal="left"/>
    </xf>
    <xf numFmtId="0" fontId="78" fillId="0" borderId="0" xfId="46" applyFont="1" applyFill="1" applyAlignment="1">
      <alignment horizontal="left" vertical="top" wrapText="1"/>
    </xf>
    <xf numFmtId="0" fontId="78" fillId="0" borderId="0" xfId="46" applyFont="1" applyFill="1" applyAlignment="1">
      <alignment horizontal="left" vertical="top"/>
    </xf>
    <xf numFmtId="0" fontId="77" fillId="0" borderId="0" xfId="46" applyFont="1" applyFill="1" applyAlignment="1">
      <alignment horizontal="center"/>
    </xf>
    <xf numFmtId="0" fontId="80" fillId="0" borderId="0" xfId="46" applyFont="1" applyFill="1"/>
    <xf numFmtId="0" fontId="61" fillId="0" borderId="0" xfId="46" applyFont="1" applyFill="1" applyBorder="1"/>
    <xf numFmtId="0" fontId="81" fillId="0" borderId="0" xfId="46" applyFont="1" applyFill="1"/>
    <xf numFmtId="0" fontId="75" fillId="0" borderId="0" xfId="46" applyFill="1"/>
    <xf numFmtId="0" fontId="79" fillId="0" borderId="0" xfId="46" applyFont="1" applyFill="1" applyBorder="1" applyAlignment="1">
      <alignment horizontal="center"/>
    </xf>
    <xf numFmtId="0" fontId="77" fillId="0" borderId="0" xfId="46" applyFont="1" applyFill="1" applyBorder="1"/>
    <xf numFmtId="0" fontId="75" fillId="0" borderId="12" xfId="46" applyFill="1" applyBorder="1"/>
    <xf numFmtId="0" fontId="76" fillId="0" borderId="12" xfId="46" applyFont="1" applyFill="1" applyBorder="1" applyAlignment="1">
      <alignment horizontal="center" wrapText="1"/>
    </xf>
    <xf numFmtId="0" fontId="76" fillId="0" borderId="12" xfId="46" applyFont="1" applyFill="1" applyBorder="1" applyAlignment="1">
      <alignment horizontal="center"/>
    </xf>
    <xf numFmtId="165" fontId="75" fillId="0" borderId="12" xfId="28" applyNumberFormat="1" applyFont="1" applyFill="1" applyBorder="1"/>
    <xf numFmtId="165" fontId="76" fillId="0" borderId="12" xfId="28" applyNumberFormat="1" applyFont="1" applyFill="1" applyBorder="1"/>
    <xf numFmtId="0" fontId="75" fillId="0" borderId="0" xfId="46" applyFill="1" applyBorder="1"/>
    <xf numFmtId="0" fontId="76" fillId="0" borderId="0" xfId="46" applyFont="1" applyFill="1" applyBorder="1"/>
    <xf numFmtId="0" fontId="81" fillId="0" borderId="0" xfId="46" applyFont="1" applyFill="1" applyAlignment="1">
      <alignment horizontal="left"/>
    </xf>
    <xf numFmtId="0" fontId="76" fillId="0" borderId="0" xfId="46" applyFont="1" applyFill="1"/>
    <xf numFmtId="0" fontId="84" fillId="0" borderId="0" xfId="46" applyFont="1" applyFill="1" applyBorder="1"/>
    <xf numFmtId="0" fontId="82" fillId="0" borderId="0" xfId="46" applyFont="1" applyFill="1" applyBorder="1"/>
    <xf numFmtId="0" fontId="80" fillId="0" borderId="0" xfId="46" applyFont="1" applyFill="1" applyBorder="1"/>
    <xf numFmtId="0" fontId="79" fillId="0" borderId="0" xfId="46" applyFont="1" applyFill="1" applyBorder="1" applyAlignment="1"/>
    <xf numFmtId="0" fontId="77" fillId="0" borderId="0" xfId="46" applyFont="1" applyFill="1" applyAlignment="1"/>
    <xf numFmtId="0" fontId="75" fillId="0" borderId="12" xfId="46" applyFont="1" applyFill="1" applyBorder="1" applyAlignment="1">
      <alignment horizontal="right"/>
    </xf>
    <xf numFmtId="0" fontId="14" fillId="0" borderId="10" xfId="0" applyFont="1" applyFill="1" applyBorder="1" applyAlignment="1"/>
    <xf numFmtId="0" fontId="14" fillId="0" borderId="0" xfId="0" applyFont="1" applyFill="1" applyBorder="1" applyAlignment="1"/>
    <xf numFmtId="0" fontId="85" fillId="0" borderId="11" xfId="0" applyFont="1" applyFill="1" applyBorder="1" applyAlignment="1">
      <alignment horizontal="right"/>
    </xf>
    <xf numFmtId="0" fontId="85" fillId="0" borderId="11" xfId="0" applyFont="1" applyFill="1" applyBorder="1"/>
    <xf numFmtId="0" fontId="86" fillId="0" borderId="0" xfId="0" applyFont="1" applyFill="1"/>
    <xf numFmtId="0" fontId="86" fillId="0" borderId="0" xfId="0" applyFont="1" applyFill="1" applyBorder="1"/>
    <xf numFmtId="0" fontId="85" fillId="0" borderId="0" xfId="0" applyFont="1" applyFill="1"/>
    <xf numFmtId="165" fontId="86" fillId="0" borderId="0" xfId="28" applyNumberFormat="1" applyFont="1" applyFill="1"/>
    <xf numFmtId="3" fontId="86" fillId="0" borderId="0" xfId="0" applyNumberFormat="1" applyFont="1" applyFill="1"/>
    <xf numFmtId="165" fontId="86" fillId="0" borderId="0" xfId="28" applyNumberFormat="1" applyFont="1" applyFill="1" applyAlignment="1">
      <alignment horizontal="right"/>
    </xf>
    <xf numFmtId="165" fontId="4" fillId="0" borderId="0" xfId="0" applyNumberFormat="1" applyFont="1" applyFill="1"/>
    <xf numFmtId="164" fontId="86" fillId="0" borderId="0" xfId="28" applyNumberFormat="1" applyFont="1" applyFill="1"/>
    <xf numFmtId="43" fontId="86" fillId="0" borderId="0" xfId="0" applyNumberFormat="1" applyFont="1" applyFill="1"/>
    <xf numFmtId="43" fontId="0" fillId="0" borderId="0" xfId="0" applyNumberFormat="1" applyFill="1"/>
    <xf numFmtId="165" fontId="72" fillId="0" borderId="0" xfId="28" applyNumberFormat="1" applyFont="1" applyFill="1"/>
    <xf numFmtId="3" fontId="86" fillId="0" borderId="0" xfId="0" applyNumberFormat="1" applyFont="1" applyFill="1" applyAlignment="1">
      <alignment horizontal="right"/>
    </xf>
    <xf numFmtId="0" fontId="86" fillId="0" borderId="0" xfId="0" applyFont="1" applyFill="1" applyAlignment="1">
      <alignment horizontal="right"/>
    </xf>
    <xf numFmtId="165" fontId="78" fillId="0" borderId="0" xfId="0" applyNumberFormat="1" applyFont="1" applyFill="1"/>
    <xf numFmtId="164" fontId="86" fillId="0" borderId="0" xfId="28" applyNumberFormat="1" applyFont="1" applyFill="1" applyAlignment="1">
      <alignment horizontal="right"/>
    </xf>
    <xf numFmtId="0" fontId="87" fillId="0" borderId="0" xfId="0" applyFont="1" applyFill="1"/>
    <xf numFmtId="167" fontId="0" fillId="0" borderId="0" xfId="0" applyNumberFormat="1" applyFill="1"/>
    <xf numFmtId="1" fontId="86" fillId="0" borderId="0" xfId="0" applyNumberFormat="1" applyFont="1" applyFill="1"/>
    <xf numFmtId="165" fontId="0" fillId="0" borderId="0" xfId="28" applyNumberFormat="1" applyFont="1" applyFill="1" applyAlignment="1">
      <alignment horizontal="right"/>
    </xf>
    <xf numFmtId="0" fontId="57" fillId="0" borderId="0" xfId="44" applyFont="1" applyFill="1"/>
    <xf numFmtId="0" fontId="4" fillId="0" borderId="0" xfId="44" applyFill="1"/>
    <xf numFmtId="0" fontId="14" fillId="0" borderId="0" xfId="44" applyFont="1" applyFill="1" applyAlignment="1">
      <alignment vertical="center"/>
    </xf>
    <xf numFmtId="0" fontId="14" fillId="0" borderId="0" xfId="0" applyFont="1" applyFill="1" applyAlignment="1">
      <alignment vertical="center"/>
    </xf>
    <xf numFmtId="0" fontId="67" fillId="0" borderId="0" xfId="44" applyFont="1" applyFill="1" applyBorder="1" applyAlignment="1">
      <alignment vertical="center"/>
    </xf>
    <xf numFmtId="0" fontId="13" fillId="0" borderId="0" xfId="44" applyFont="1" applyFill="1"/>
    <xf numFmtId="0" fontId="69" fillId="0" borderId="0" xfId="44" applyFont="1" applyFill="1" applyBorder="1" applyAlignment="1">
      <alignment vertical="center"/>
    </xf>
    <xf numFmtId="0" fontId="69" fillId="0" borderId="0" xfId="44" applyFont="1" applyFill="1" applyBorder="1" applyAlignment="1">
      <alignment horizontal="right" vertical="center" wrapText="1"/>
    </xf>
    <xf numFmtId="0" fontId="86" fillId="0" borderId="10" xfId="0" applyFont="1" applyFill="1" applyBorder="1"/>
    <xf numFmtId="165" fontId="86" fillId="0" borderId="10" xfId="28" applyNumberFormat="1" applyFont="1" applyFill="1" applyBorder="1" applyAlignment="1">
      <alignment horizontal="right"/>
    </xf>
    <xf numFmtId="165" fontId="86" fillId="0" borderId="10" xfId="28" applyNumberFormat="1" applyFont="1" applyFill="1" applyBorder="1"/>
    <xf numFmtId="0" fontId="68" fillId="0" borderId="0" xfId="44" applyFont="1" applyFill="1" applyBorder="1" applyAlignment="1">
      <alignment vertical="center"/>
    </xf>
    <xf numFmtId="0" fontId="68" fillId="0" borderId="0" xfId="44" applyFont="1" applyFill="1" applyBorder="1" applyAlignment="1">
      <alignment horizontal="right" vertical="center" wrapText="1"/>
    </xf>
    <xf numFmtId="0" fontId="68" fillId="0" borderId="0" xfId="0" applyFont="1" applyFill="1" applyBorder="1" applyAlignment="1">
      <alignment vertical="center"/>
    </xf>
    <xf numFmtId="0" fontId="85" fillId="0" borderId="0" xfId="0" applyFont="1" applyFill="1" applyBorder="1"/>
    <xf numFmtId="0" fontId="3" fillId="0" borderId="0" xfId="44" applyFont="1" applyFill="1"/>
    <xf numFmtId="0" fontId="86" fillId="0" borderId="0" xfId="0" applyFont="1" applyFill="1" applyAlignment="1">
      <alignment horizontal="left"/>
    </xf>
    <xf numFmtId="0" fontId="4" fillId="0" borderId="0" xfId="0" applyFont="1" applyFill="1" applyAlignment="1">
      <alignment horizontal="left"/>
    </xf>
    <xf numFmtId="0" fontId="10" fillId="0" borderId="0" xfId="0" applyFont="1" applyFill="1" applyAlignment="1">
      <alignment vertical="top"/>
    </xf>
    <xf numFmtId="0" fontId="86" fillId="0" borderId="0" xfId="0" applyFont="1" applyFill="1" applyAlignment="1"/>
    <xf numFmtId="0" fontId="21" fillId="0" borderId="0" xfId="0" applyFont="1" applyFill="1" applyAlignment="1"/>
    <xf numFmtId="0" fontId="12" fillId="0" borderId="0" xfId="0" applyFont="1" applyFill="1" applyAlignment="1">
      <alignment horizontal="right"/>
    </xf>
    <xf numFmtId="0" fontId="7" fillId="0" borderId="11" xfId="0" applyFont="1" applyFill="1" applyBorder="1" applyAlignment="1">
      <alignment horizontal="center"/>
    </xf>
    <xf numFmtId="0" fontId="27" fillId="0" borderId="11" xfId="0" applyFont="1" applyFill="1" applyBorder="1" applyAlignment="1">
      <alignment horizontal="center"/>
    </xf>
    <xf numFmtId="0" fontId="27" fillId="0" borderId="0" xfId="0" applyFont="1" applyFill="1"/>
    <xf numFmtId="0" fontId="7" fillId="0" borderId="0" xfId="0" applyFont="1" applyFill="1" applyAlignment="1">
      <alignment horizontal="left"/>
    </xf>
    <xf numFmtId="0" fontId="27" fillId="0" borderId="0" xfId="0" applyFont="1" applyFill="1" applyAlignment="1">
      <alignment horizontal="center"/>
    </xf>
    <xf numFmtId="0" fontId="28" fillId="0" borderId="0" xfId="0" applyFont="1" applyFill="1" applyAlignment="1">
      <alignment horizontal="left"/>
    </xf>
    <xf numFmtId="167" fontId="4" fillId="0" borderId="0" xfId="0" applyNumberFormat="1" applyFont="1" applyFill="1" applyAlignment="1">
      <alignment horizontal="center"/>
    </xf>
    <xf numFmtId="0" fontId="27" fillId="0" borderId="0" xfId="0" applyFont="1" applyFill="1" applyAlignment="1">
      <alignment horizontal="left"/>
    </xf>
    <xf numFmtId="167" fontId="4" fillId="0" borderId="0" xfId="0" applyNumberFormat="1" applyFont="1" applyFill="1" applyBorder="1" applyAlignment="1">
      <alignment horizontal="center"/>
    </xf>
    <xf numFmtId="0" fontId="28" fillId="0" borderId="0" xfId="0" applyFont="1" applyFill="1"/>
    <xf numFmtId="165" fontId="4" fillId="0" borderId="0" xfId="0" applyNumberFormat="1" applyFont="1" applyFill="1" applyBorder="1" applyAlignment="1">
      <alignment horizontal="center"/>
    </xf>
    <xf numFmtId="167" fontId="4" fillId="0" borderId="0" xfId="0" applyNumberFormat="1" applyFont="1" applyFill="1" applyBorder="1" applyAlignment="1">
      <alignment horizontal="right"/>
    </xf>
    <xf numFmtId="0" fontId="7" fillId="0" borderId="10" xfId="0" applyFont="1" applyFill="1" applyBorder="1"/>
    <xf numFmtId="0" fontId="3" fillId="0" borderId="0" xfId="0" applyFont="1" applyFill="1"/>
    <xf numFmtId="0" fontId="3" fillId="0" borderId="0" xfId="0" applyFont="1" applyFill="1" applyAlignment="1">
      <alignment horizontal="centerContinuous"/>
    </xf>
    <xf numFmtId="0" fontId="3" fillId="0" borderId="0" xfId="0" applyFont="1" applyFill="1" applyBorder="1" applyAlignment="1">
      <alignment horizontal="right"/>
    </xf>
    <xf numFmtId="165" fontId="71" fillId="0" borderId="0" xfId="28" applyNumberFormat="1" applyFont="1" applyFill="1"/>
    <xf numFmtId="0" fontId="3" fillId="0" borderId="11" xfId="0" applyFont="1" applyFill="1" applyBorder="1"/>
    <xf numFmtId="0" fontId="3" fillId="0" borderId="10" xfId="0" applyFont="1" applyFill="1" applyBorder="1"/>
    <xf numFmtId="165" fontId="3" fillId="0" borderId="0" xfId="28" applyNumberFormat="1" applyFont="1" applyFill="1" applyAlignment="1">
      <alignment horizontal="right"/>
    </xf>
    <xf numFmtId="0" fontId="3" fillId="0" borderId="0" xfId="0" applyFont="1" applyFill="1" applyBorder="1"/>
    <xf numFmtId="0" fontId="4" fillId="0" borderId="0" xfId="0" applyFont="1" applyFill="1" applyAlignment="1">
      <alignment horizontal="left" indent="1"/>
    </xf>
    <xf numFmtId="165" fontId="4" fillId="0" borderId="0" xfId="28" applyNumberFormat="1" applyFont="1" applyFill="1" applyAlignment="1">
      <alignment horizontal="right"/>
    </xf>
    <xf numFmtId="0" fontId="3" fillId="0" borderId="0" xfId="0" applyFont="1" applyFill="1" applyAlignment="1">
      <alignment horizontal="left"/>
    </xf>
    <xf numFmtId="0" fontId="4" fillId="0" borderId="0" xfId="28" applyNumberFormat="1" applyFont="1" applyFill="1" applyAlignment="1">
      <alignment horizontal="right"/>
    </xf>
    <xf numFmtId="165" fontId="3" fillId="0" borderId="0" xfId="0" applyNumberFormat="1" applyFont="1" applyFill="1" applyBorder="1" applyAlignment="1">
      <alignment horizontal="right"/>
    </xf>
    <xf numFmtId="0" fontId="3" fillId="0" borderId="0" xfId="0" applyFont="1" applyFill="1" applyAlignment="1"/>
    <xf numFmtId="165" fontId="4" fillId="0" borderId="0" xfId="28" applyNumberFormat="1" applyFont="1" applyFill="1" applyAlignment="1">
      <alignment horizontal="left"/>
    </xf>
    <xf numFmtId="0" fontId="3" fillId="0" borderId="10" xfId="0" applyFont="1" applyFill="1" applyBorder="1" applyAlignment="1">
      <alignment horizontal="left" indent="1"/>
    </xf>
    <xf numFmtId="0" fontId="3" fillId="0" borderId="10" xfId="0" applyFont="1" applyFill="1" applyBorder="1" applyAlignment="1">
      <alignment horizontal="right"/>
    </xf>
    <xf numFmtId="0" fontId="4" fillId="0" borderId="0" xfId="0" applyFont="1" applyFill="1" applyBorder="1" applyAlignment="1">
      <alignment horizontal="left" indent="1"/>
    </xf>
    <xf numFmtId="0" fontId="70" fillId="0" borderId="0" xfId="0" applyFont="1" applyFill="1" applyAlignment="1">
      <alignment horizontal="right" vertical="center"/>
    </xf>
    <xf numFmtId="0" fontId="70" fillId="0" borderId="0" xfId="0" applyFont="1" applyFill="1" applyAlignment="1">
      <alignment vertical="center"/>
    </xf>
    <xf numFmtId="0" fontId="4" fillId="0" borderId="0" xfId="0" applyFont="1" applyFill="1" applyAlignment="1">
      <alignment horizontal="left" vertical="center"/>
    </xf>
    <xf numFmtId="165" fontId="3" fillId="0" borderId="0" xfId="28" applyNumberFormat="1" applyFont="1" applyFill="1" applyAlignment="1">
      <alignment vertical="center"/>
    </xf>
    <xf numFmtId="0" fontId="4" fillId="0" borderId="0" xfId="0" applyFont="1" applyFill="1" applyBorder="1" applyAlignment="1">
      <alignment horizontal="right" vertical="center"/>
    </xf>
    <xf numFmtId="0" fontId="4" fillId="0" borderId="0" xfId="0" applyFont="1" applyFill="1" applyAlignment="1">
      <alignment vertical="center"/>
    </xf>
    <xf numFmtId="165" fontId="10" fillId="0" borderId="0" xfId="28" applyNumberFormat="1" applyFont="1" applyFill="1" applyAlignment="1">
      <alignment horizontal="right" vertical="center"/>
    </xf>
    <xf numFmtId="0" fontId="17" fillId="0" borderId="0" xfId="0" applyFont="1" applyFill="1"/>
    <xf numFmtId="0" fontId="5" fillId="0" borderId="0" xfId="0" applyFont="1" applyFill="1" applyAlignment="1">
      <alignment horizontal="center" wrapText="1"/>
    </xf>
    <xf numFmtId="0" fontId="3" fillId="0" borderId="0" xfId="0" applyFont="1" applyFill="1" applyBorder="1" applyAlignment="1">
      <alignment horizontal="center"/>
    </xf>
    <xf numFmtId="0" fontId="3" fillId="0" borderId="0" xfId="51" applyFont="1" applyFill="1"/>
    <xf numFmtId="0" fontId="3" fillId="0" borderId="0" xfId="0" applyFont="1" applyFill="1" applyBorder="1" applyAlignment="1">
      <alignment wrapText="1"/>
    </xf>
    <xf numFmtId="0" fontId="3" fillId="0" borderId="0" xfId="58" applyFont="1" applyFill="1"/>
    <xf numFmtId="0" fontId="56" fillId="0" borderId="0" xfId="51" applyFill="1"/>
    <xf numFmtId="0" fontId="0" fillId="0" borderId="0" xfId="0" applyFill="1" applyBorder="1" applyAlignment="1">
      <alignment wrapText="1"/>
    </xf>
    <xf numFmtId="0" fontId="95" fillId="0" borderId="0" xfId="58" applyFill="1"/>
    <xf numFmtId="0" fontId="76" fillId="0" borderId="0" xfId="0" applyFont="1" applyFill="1" applyBorder="1" applyAlignment="1">
      <alignment horizontal="right"/>
    </xf>
    <xf numFmtId="0" fontId="1" fillId="0" borderId="0" xfId="0" applyFont="1" applyFill="1"/>
    <xf numFmtId="0" fontId="1" fillId="0" borderId="0" xfId="0" applyFont="1" applyFill="1" applyAlignment="1">
      <alignment horizontal="right"/>
    </xf>
    <xf numFmtId="0" fontId="4" fillId="0" borderId="0" xfId="51" applyFont="1" applyFill="1"/>
    <xf numFmtId="0" fontId="92" fillId="0" borderId="0" xfId="33" applyNumberFormat="1" applyFont="1" applyFill="1" applyBorder="1" applyAlignment="1">
      <alignment horizontal="right" wrapText="1"/>
    </xf>
    <xf numFmtId="0" fontId="0" fillId="0" borderId="0" xfId="0" applyFill="1" applyAlignment="1">
      <alignment horizontal="right"/>
    </xf>
    <xf numFmtId="0" fontId="4" fillId="0" borderId="0" xfId="50" applyFill="1"/>
    <xf numFmtId="49" fontId="3" fillId="0" borderId="0" xfId="50" applyNumberFormat="1" applyFont="1" applyFill="1" applyBorder="1"/>
    <xf numFmtId="0" fontId="5" fillId="0" borderId="0" xfId="50" applyFont="1" applyFill="1"/>
    <xf numFmtId="0" fontId="4" fillId="0" borderId="0" xfId="50" applyFont="1" applyFill="1"/>
    <xf numFmtId="49" fontId="4" fillId="0" borderId="10" xfId="50" applyNumberFormat="1" applyFont="1" applyFill="1" applyBorder="1"/>
    <xf numFmtId="49" fontId="4" fillId="0" borderId="0" xfId="50" applyNumberFormat="1" applyFont="1" applyFill="1" applyBorder="1"/>
    <xf numFmtId="0" fontId="3" fillId="0" borderId="10" xfId="50" applyFont="1" applyFill="1" applyBorder="1" applyAlignment="1">
      <alignment horizontal="left"/>
    </xf>
    <xf numFmtId="165" fontId="3" fillId="0" borderId="11" xfId="28" applyNumberFormat="1" applyFont="1" applyFill="1" applyBorder="1" applyAlignment="1">
      <alignment horizontal="right"/>
    </xf>
    <xf numFmtId="0" fontId="3" fillId="0" borderId="11" xfId="50" applyFont="1" applyFill="1" applyBorder="1" applyAlignment="1"/>
    <xf numFmtId="0" fontId="3" fillId="0" borderId="0" xfId="50" applyFont="1" applyFill="1" applyBorder="1" applyAlignment="1">
      <alignment horizontal="left"/>
    </xf>
    <xf numFmtId="165" fontId="3" fillId="0" borderId="0" xfId="28" applyNumberFormat="1" applyFont="1" applyFill="1" applyBorder="1"/>
    <xf numFmtId="0" fontId="4" fillId="0" borderId="13" xfId="50" applyFont="1" applyFill="1" applyBorder="1" applyAlignment="1"/>
    <xf numFmtId="165" fontId="3" fillId="0" borderId="0" xfId="28" applyNumberFormat="1" applyFont="1" applyFill="1" applyBorder="1" applyAlignment="1">
      <alignment horizontal="center"/>
    </xf>
    <xf numFmtId="165" fontId="4" fillId="0" borderId="0" xfId="28" applyNumberFormat="1" applyFont="1" applyFill="1" applyBorder="1" applyAlignment="1"/>
    <xf numFmtId="0" fontId="4" fillId="0" borderId="0" xfId="0" applyFont="1" applyFill="1" applyBorder="1" applyAlignment="1">
      <alignment horizontal="right" vertical="center" wrapText="1"/>
    </xf>
    <xf numFmtId="0" fontId="4" fillId="0" borderId="0" xfId="50" applyFont="1" applyFill="1" applyBorder="1"/>
    <xf numFmtId="0" fontId="4" fillId="0" borderId="0" xfId="50" applyFont="1" applyFill="1" applyBorder="1" applyAlignment="1"/>
    <xf numFmtId="0" fontId="4" fillId="0" borderId="0" xfId="50" applyFont="1" applyFill="1" applyBorder="1" applyAlignment="1">
      <alignment horizontal="center"/>
    </xf>
    <xf numFmtId="165" fontId="4" fillId="0" borderId="10" xfId="28" applyNumberFormat="1" applyFont="1" applyFill="1" applyBorder="1"/>
    <xf numFmtId="0" fontId="3" fillId="0" borderId="0" xfId="50" applyFont="1" applyFill="1"/>
    <xf numFmtId="0" fontId="5" fillId="0" borderId="0" xfId="0" applyFont="1" applyFill="1"/>
    <xf numFmtId="0" fontId="89" fillId="0" borderId="0" xfId="0" applyFont="1" applyFill="1" applyBorder="1"/>
    <xf numFmtId="0" fontId="74" fillId="0" borderId="0" xfId="0" applyFont="1" applyFill="1" applyBorder="1"/>
    <xf numFmtId="3" fontId="74" fillId="0" borderId="0" xfId="0" applyNumberFormat="1" applyFont="1" applyFill="1" applyBorder="1" applyAlignment="1">
      <alignment horizontal="center"/>
    </xf>
    <xf numFmtId="0" fontId="89" fillId="0" borderId="0" xfId="0" applyFont="1" applyFill="1" applyBorder="1" applyAlignment="1">
      <alignment horizontal="center"/>
    </xf>
    <xf numFmtId="3" fontId="89" fillId="0" borderId="0" xfId="0" applyNumberFormat="1" applyFont="1" applyFill="1" applyBorder="1" applyAlignment="1">
      <alignment horizontal="center"/>
    </xf>
    <xf numFmtId="0" fontId="4" fillId="0" borderId="13" xfId="0" applyFont="1" applyFill="1" applyBorder="1"/>
    <xf numFmtId="0" fontId="88" fillId="0" borderId="13" xfId="0" applyFont="1" applyFill="1" applyBorder="1" applyAlignment="1">
      <alignment horizontal="center"/>
    </xf>
    <xf numFmtId="0" fontId="88" fillId="0" borderId="0" xfId="0" applyFont="1" applyFill="1" applyBorder="1"/>
    <xf numFmtId="0" fontId="88" fillId="0" borderId="12" xfId="0" applyFont="1" applyFill="1" applyBorder="1" applyAlignment="1">
      <alignment horizontal="center"/>
    </xf>
    <xf numFmtId="0" fontId="4" fillId="0" borderId="12" xfId="0" applyFont="1" applyFill="1" applyBorder="1" applyAlignment="1">
      <alignment horizontal="center"/>
    </xf>
    <xf numFmtId="0" fontId="90" fillId="0" borderId="12" xfId="0" applyFont="1" applyFill="1" applyBorder="1" applyAlignment="1">
      <alignment horizontal="left"/>
    </xf>
    <xf numFmtId="165" fontId="0" fillId="0" borderId="12" xfId="28" applyNumberFormat="1" applyFont="1" applyFill="1" applyBorder="1"/>
    <xf numFmtId="0" fontId="88" fillId="0" borderId="12" xfId="0" applyNumberFormat="1" applyFont="1" applyFill="1" applyBorder="1" applyAlignment="1">
      <alignment horizontal="right"/>
    </xf>
    <xf numFmtId="0" fontId="4" fillId="0" borderId="12" xfId="0" applyFont="1" applyFill="1" applyBorder="1"/>
    <xf numFmtId="165" fontId="88" fillId="0" borderId="12" xfId="28" applyNumberFormat="1" applyFont="1" applyFill="1" applyBorder="1"/>
    <xf numFmtId="0" fontId="90" fillId="0" borderId="12" xfId="0" applyFont="1" applyFill="1" applyBorder="1" applyAlignment="1">
      <alignment horizontal="center"/>
    </xf>
    <xf numFmtId="0" fontId="4" fillId="0" borderId="15" xfId="0" applyFont="1" applyFill="1" applyBorder="1"/>
    <xf numFmtId="165" fontId="90" fillId="0" borderId="12" xfId="28" applyNumberFormat="1" applyFont="1" applyFill="1" applyBorder="1"/>
    <xf numFmtId="0" fontId="88" fillId="0" borderId="12" xfId="0" applyFont="1" applyFill="1" applyBorder="1"/>
    <xf numFmtId="165" fontId="3" fillId="0" borderId="12" xfId="28" applyNumberFormat="1" applyFont="1" applyFill="1" applyBorder="1"/>
    <xf numFmtId="165" fontId="88" fillId="0" borderId="12" xfId="28" applyNumberFormat="1" applyFont="1" applyFill="1" applyBorder="1" applyAlignment="1">
      <alignment horizontal="center"/>
    </xf>
    <xf numFmtId="0" fontId="89" fillId="0" borderId="10" xfId="0" applyFont="1" applyFill="1" applyBorder="1"/>
    <xf numFmtId="3" fontId="88" fillId="0" borderId="10" xfId="0" applyNumberFormat="1" applyFont="1" applyFill="1" applyBorder="1" applyAlignment="1">
      <alignment horizontal="center"/>
    </xf>
    <xf numFmtId="3" fontId="4" fillId="0" borderId="10" xfId="0" applyNumberFormat="1" applyFont="1" applyFill="1" applyBorder="1" applyAlignment="1">
      <alignment horizontal="center"/>
    </xf>
    <xf numFmtId="0" fontId="88" fillId="0" borderId="14" xfId="0" applyFont="1" applyFill="1" applyBorder="1"/>
    <xf numFmtId="0" fontId="4" fillId="0" borderId="23" xfId="0" applyFont="1" applyFill="1" applyBorder="1" applyAlignment="1">
      <alignment wrapText="1"/>
    </xf>
    <xf numFmtId="3" fontId="4" fillId="0" borderId="12" xfId="0" applyNumberFormat="1" applyFont="1" applyFill="1" applyBorder="1" applyAlignment="1">
      <alignment horizontal="center"/>
    </xf>
    <xf numFmtId="0" fontId="88" fillId="0" borderId="15" xfId="0" applyFont="1" applyFill="1" applyBorder="1" applyAlignment="1">
      <alignment horizontal="center"/>
    </xf>
    <xf numFmtId="3" fontId="88" fillId="0" borderId="0" xfId="0" applyNumberFormat="1" applyFont="1" applyFill="1" applyBorder="1" applyAlignment="1">
      <alignment horizontal="center"/>
    </xf>
    <xf numFmtId="3" fontId="4" fillId="0" borderId="12" xfId="0" applyNumberFormat="1" applyFont="1" applyFill="1" applyBorder="1" applyAlignment="1">
      <alignment horizontal="center" vertical="center"/>
    </xf>
    <xf numFmtId="0" fontId="4" fillId="0" borderId="23" xfId="0" applyFont="1" applyFill="1" applyBorder="1" applyAlignment="1">
      <alignment vertical="center" wrapText="1"/>
    </xf>
    <xf numFmtId="0" fontId="93" fillId="0" borderId="12" xfId="0" applyFont="1" applyFill="1" applyBorder="1" applyAlignment="1">
      <alignment horizontal="center" vertical="center" wrapText="1"/>
    </xf>
    <xf numFmtId="0" fontId="88" fillId="0" borderId="16" xfId="0" applyFont="1" applyFill="1" applyBorder="1"/>
    <xf numFmtId="3" fontId="88" fillId="0" borderId="12" xfId="0" applyNumberFormat="1" applyFont="1" applyFill="1" applyBorder="1" applyAlignment="1">
      <alignment horizontal="center"/>
    </xf>
    <xf numFmtId="0" fontId="83" fillId="0" borderId="0" xfId="0" applyFont="1" applyFill="1" applyBorder="1" applyAlignment="1"/>
    <xf numFmtId="0" fontId="5" fillId="0" borderId="0" xfId="0" applyFont="1" applyFill="1" applyAlignment="1">
      <alignment horizontal="center"/>
    </xf>
    <xf numFmtId="165" fontId="77" fillId="0" borderId="0" xfId="28" applyNumberFormat="1" applyFont="1" applyFill="1"/>
    <xf numFmtId="166" fontId="0" fillId="20" borderId="0" xfId="0" applyNumberFormat="1" applyFill="1" applyAlignment="1">
      <alignment horizontal="center"/>
    </xf>
    <xf numFmtId="166" fontId="0" fillId="0" borderId="0" xfId="0" applyNumberFormat="1" applyAlignment="1">
      <alignment horizontal="center"/>
    </xf>
    <xf numFmtId="0" fontId="7" fillId="20" borderId="0" xfId="0" applyFont="1" applyFill="1" applyAlignment="1">
      <alignment horizontal="center"/>
    </xf>
    <xf numFmtId="0" fontId="7" fillId="20" borderId="0" xfId="0" applyFont="1" applyFill="1" applyAlignment="1">
      <alignment horizontal="center" vertical="center" wrapText="1"/>
    </xf>
    <xf numFmtId="0" fontId="7" fillId="0" borderId="0" xfId="0" applyFont="1" applyAlignment="1">
      <alignment horizontal="center" vertical="center" wrapText="1"/>
    </xf>
    <xf numFmtId="0" fontId="0" fillId="20" borderId="0" xfId="0" applyFill="1" applyAlignment="1">
      <alignment horizontal="center"/>
    </xf>
    <xf numFmtId="0" fontId="0" fillId="0" borderId="0" xfId="0" applyAlignment="1">
      <alignment horizontal="center"/>
    </xf>
    <xf numFmtId="0" fontId="36" fillId="20" borderId="23" xfId="0" applyFont="1" applyFill="1" applyBorder="1" applyAlignment="1">
      <alignment horizontal="right"/>
    </xf>
    <xf numFmtId="0" fontId="36" fillId="20" borderId="11" xfId="0" applyFont="1" applyFill="1" applyBorder="1" applyAlignment="1">
      <alignment horizontal="right"/>
    </xf>
    <xf numFmtId="0" fontId="36" fillId="20" borderId="24" xfId="0" applyFont="1" applyFill="1" applyBorder="1" applyAlignment="1">
      <alignment horizontal="right"/>
    </xf>
    <xf numFmtId="0" fontId="8" fillId="20" borderId="0" xfId="0" applyFont="1" applyFill="1" applyAlignment="1">
      <alignment wrapText="1"/>
    </xf>
    <xf numFmtId="0" fontId="0" fillId="20" borderId="0" xfId="0" applyFill="1" applyAlignment="1">
      <alignment wrapText="1"/>
    </xf>
    <xf numFmtId="0" fontId="0" fillId="0" borderId="0" xfId="0" applyAlignment="1">
      <alignment wrapText="1"/>
    </xf>
    <xf numFmtId="0" fontId="4" fillId="20" borderId="0" xfId="0" applyFont="1" applyFill="1" applyAlignment="1">
      <alignment wrapText="1"/>
    </xf>
    <xf numFmtId="0" fontId="12" fillId="0" borderId="0" xfId="0" applyFont="1" applyFill="1" applyAlignment="1">
      <alignment horizontal="right"/>
    </xf>
    <xf numFmtId="0" fontId="5" fillId="0" borderId="0" xfId="0" applyFont="1" applyFill="1" applyAlignment="1">
      <alignment horizontal="left"/>
    </xf>
    <xf numFmtId="0" fontId="4" fillId="0" borderId="0" xfId="0" applyFont="1" applyFill="1" applyAlignment="1">
      <alignment horizontal="center"/>
    </xf>
    <xf numFmtId="0" fontId="4" fillId="0" borderId="0" xfId="0" applyFont="1" applyFill="1" applyBorder="1" applyAlignment="1">
      <alignment horizontal="left" wrapText="1"/>
    </xf>
    <xf numFmtId="0" fontId="7" fillId="0" borderId="11" xfId="0" applyFont="1" applyFill="1" applyBorder="1" applyAlignment="1">
      <alignment horizontal="left"/>
    </xf>
    <xf numFmtId="0" fontId="5" fillId="0" borderId="0" xfId="0" applyFont="1" applyFill="1" applyAlignment="1">
      <alignment horizontal="center"/>
    </xf>
    <xf numFmtId="0" fontId="7" fillId="0" borderId="0" xfId="0" applyFont="1" applyFill="1" applyAlignment="1">
      <alignment horizontal="left" vertical="center" wrapText="1"/>
    </xf>
    <xf numFmtId="0" fontId="77" fillId="0" borderId="0" xfId="46" applyFont="1" applyFill="1" applyAlignment="1">
      <alignment horizontal="left" wrapText="1"/>
    </xf>
    <xf numFmtId="0" fontId="77" fillId="0" borderId="0" xfId="46" applyFont="1" applyFill="1" applyAlignment="1">
      <alignment horizontal="center"/>
    </xf>
    <xf numFmtId="0" fontId="79" fillId="0" borderId="11" xfId="46" applyFont="1" applyFill="1" applyBorder="1" applyAlignment="1">
      <alignment horizontal="center"/>
    </xf>
    <xf numFmtId="0" fontId="79" fillId="0" borderId="13" xfId="46" applyFont="1" applyFill="1" applyBorder="1" applyAlignment="1">
      <alignment horizontal="left" wrapText="1"/>
    </xf>
    <xf numFmtId="0" fontId="79" fillId="0" borderId="10" xfId="46" applyFont="1" applyFill="1" applyBorder="1" applyAlignment="1">
      <alignment horizontal="left" wrapText="1"/>
    </xf>
    <xf numFmtId="0" fontId="12" fillId="0" borderId="0" xfId="0" applyFont="1" applyFill="1" applyAlignment="1">
      <alignment horizontal="center"/>
    </xf>
    <xf numFmtId="0" fontId="12" fillId="0" borderId="0" xfId="0" applyFont="1" applyFill="1" applyAlignment="1">
      <alignment horizontal="center" vertical="top" wrapText="1"/>
    </xf>
    <xf numFmtId="0" fontId="78" fillId="0" borderId="0" xfId="46" applyFont="1" applyFill="1" applyAlignment="1">
      <alignment horizontal="left" vertical="top" wrapText="1"/>
    </xf>
    <xf numFmtId="0" fontId="77" fillId="0" borderId="0" xfId="46" applyFont="1" applyFill="1" applyAlignment="1">
      <alignment horizontal="center" wrapText="1"/>
    </xf>
    <xf numFmtId="0" fontId="80" fillId="0" borderId="0" xfId="46" applyFont="1" applyFill="1" applyAlignment="1">
      <alignment horizontal="center"/>
    </xf>
    <xf numFmtId="0" fontId="21" fillId="0" borderId="0" xfId="0" applyFont="1" applyFill="1" applyAlignment="1">
      <alignment horizontal="center"/>
    </xf>
    <xf numFmtId="0" fontId="85" fillId="0" borderId="0" xfId="0" applyFont="1" applyFill="1" applyAlignment="1">
      <alignment horizontal="left" wrapText="1"/>
    </xf>
    <xf numFmtId="0" fontId="86" fillId="0" borderId="0" xfId="0" applyFont="1" applyFill="1" applyAlignment="1">
      <alignment horizontal="left" wrapText="1"/>
    </xf>
    <xf numFmtId="0" fontId="14" fillId="0" borderId="10" xfId="0" applyFont="1" applyFill="1" applyBorder="1" applyAlignment="1">
      <alignment horizontal="right"/>
    </xf>
    <xf numFmtId="0" fontId="4" fillId="0" borderId="0" xfId="0" applyFont="1" applyFill="1" applyAlignment="1">
      <alignment horizontal="left" vertical="top" wrapText="1"/>
    </xf>
    <xf numFmtId="0" fontId="29" fillId="0" borderId="0" xfId="49" applyFont="1" applyFill="1" applyAlignment="1">
      <alignment horizontal="right"/>
    </xf>
    <xf numFmtId="0" fontId="5" fillId="20" borderId="0" xfId="49" applyFont="1" applyFill="1" applyAlignment="1">
      <alignment horizontal="center"/>
    </xf>
    <xf numFmtId="0" fontId="5" fillId="0" borderId="0" xfId="0" applyFont="1" applyAlignment="1">
      <alignment horizontal="center"/>
    </xf>
    <xf numFmtId="0" fontId="6" fillId="0" borderId="0" xfId="0" applyFont="1" applyAlignment="1">
      <alignment horizontal="center"/>
    </xf>
    <xf numFmtId="0" fontId="21" fillId="0" borderId="0" xfId="0" applyFont="1" applyAlignment="1">
      <alignment horizontal="right"/>
    </xf>
    <xf numFmtId="0" fontId="4" fillId="0" borderId="0" xfId="0" applyFont="1" applyFill="1" applyAlignment="1">
      <alignment horizontal="left" vertical="center" wrapText="1"/>
    </xf>
    <xf numFmtId="0" fontId="5" fillId="0" borderId="0" xfId="0" applyFont="1" applyFill="1" applyAlignment="1">
      <alignment horizontal="center" wrapText="1"/>
    </xf>
    <xf numFmtId="0" fontId="7" fillId="20" borderId="11" xfId="28" applyNumberFormat="1" applyFont="1" applyFill="1" applyBorder="1" applyAlignment="1">
      <alignment horizontal="center"/>
    </xf>
    <xf numFmtId="0" fontId="4" fillId="20" borderId="13" xfId="50" applyFill="1" applyBorder="1" applyAlignment="1">
      <alignment horizontal="center"/>
    </xf>
    <xf numFmtId="165" fontId="4" fillId="20" borderId="0" xfId="28" applyNumberFormat="1" applyFill="1"/>
    <xf numFmtId="0" fontId="5" fillId="20" borderId="0" xfId="50" applyFont="1" applyFill="1" applyAlignment="1">
      <alignment horizontal="center"/>
    </xf>
    <xf numFmtId="0" fontId="7" fillId="20" borderId="11" xfId="50" applyFont="1" applyFill="1" applyBorder="1" applyAlignment="1">
      <alignment horizontal="center"/>
    </xf>
    <xf numFmtId="165" fontId="7" fillId="20" borderId="0" xfId="28" applyNumberFormat="1" applyFont="1" applyFill="1"/>
    <xf numFmtId="0" fontId="4" fillId="20" borderId="0" xfId="50" applyFill="1" applyAlignment="1">
      <alignment horizontal="left"/>
    </xf>
    <xf numFmtId="165" fontId="4" fillId="20" borderId="10" xfId="28" applyNumberFormat="1" applyFill="1" applyBorder="1"/>
    <xf numFmtId="0" fontId="83" fillId="20" borderId="0" xfId="0" applyFont="1" applyFill="1" applyBorder="1" applyAlignment="1">
      <alignment horizontal="center"/>
    </xf>
    <xf numFmtId="0" fontId="76" fillId="20" borderId="11" xfId="0" applyFont="1" applyFill="1" applyBorder="1" applyAlignment="1">
      <alignment horizontal="center"/>
    </xf>
    <xf numFmtId="0" fontId="76" fillId="20" borderId="24" xfId="0" applyFont="1" applyFill="1" applyBorder="1" applyAlignment="1">
      <alignment horizontal="center"/>
    </xf>
    <xf numFmtId="0" fontId="76" fillId="20" borderId="23" xfId="0" applyFont="1" applyFill="1" applyBorder="1" applyAlignment="1">
      <alignment horizontal="center"/>
    </xf>
    <xf numFmtId="0" fontId="76" fillId="20" borderId="13" xfId="0" applyNumberFormat="1" applyFont="1" applyFill="1" applyBorder="1" applyAlignment="1">
      <alignment horizontal="center"/>
    </xf>
    <xf numFmtId="0" fontId="83" fillId="20" borderId="10" xfId="0" applyFont="1" applyFill="1" applyBorder="1" applyAlignment="1">
      <alignment horizontal="center"/>
    </xf>
    <xf numFmtId="0" fontId="3" fillId="0" borderId="11" xfId="28" applyNumberFormat="1" applyFont="1" applyFill="1" applyBorder="1" applyAlignment="1">
      <alignment horizontal="center"/>
    </xf>
    <xf numFmtId="0" fontId="4" fillId="0" borderId="0" xfId="50" applyFont="1" applyFill="1" applyBorder="1" applyAlignment="1">
      <alignment horizontal="center"/>
    </xf>
    <xf numFmtId="165" fontId="4" fillId="0" borderId="0" xfId="28" applyNumberFormat="1" applyFont="1" applyFill="1" applyBorder="1"/>
    <xf numFmtId="165" fontId="4" fillId="0" borderId="0" xfId="28" applyNumberFormat="1" applyFont="1" applyFill="1" applyBorder="1" applyAlignment="1">
      <alignment horizontal="center"/>
    </xf>
    <xf numFmtId="0" fontId="3" fillId="0" borderId="11" xfId="50" applyFont="1" applyFill="1" applyBorder="1" applyAlignment="1">
      <alignment horizontal="center"/>
    </xf>
    <xf numFmtId="0" fontId="5" fillId="0" borderId="0" xfId="50" applyFont="1" applyFill="1" applyAlignment="1">
      <alignment horizontal="center"/>
    </xf>
    <xf numFmtId="165" fontId="4" fillId="0" borderId="0" xfId="28" applyNumberFormat="1" applyFont="1" applyFill="1" applyBorder="1" applyAlignment="1"/>
    <xf numFmtId="0" fontId="3" fillId="0" borderId="0" xfId="0" applyFont="1" applyFill="1" applyAlignment="1">
      <alignment horizontal="center"/>
    </xf>
    <xf numFmtId="0" fontId="83" fillId="0" borderId="0" xfId="0" applyFont="1" applyFill="1" applyBorder="1" applyAlignment="1">
      <alignment horizontal="center"/>
    </xf>
    <xf numFmtId="0" fontId="83" fillId="0" borderId="10" xfId="0" applyFont="1" applyFill="1" applyBorder="1" applyAlignment="1">
      <alignment horizontal="center"/>
    </xf>
    <xf numFmtId="0" fontId="88" fillId="0" borderId="23" xfId="0" applyFont="1" applyFill="1" applyBorder="1" applyAlignment="1">
      <alignment horizontal="center"/>
    </xf>
    <xf numFmtId="0" fontId="88" fillId="0" borderId="11" xfId="0" applyFont="1" applyFill="1" applyBorder="1" applyAlignment="1">
      <alignment horizontal="center"/>
    </xf>
    <xf numFmtId="0" fontId="88" fillId="0" borderId="24" xfId="0" applyFont="1" applyFill="1" applyBorder="1" applyAlignment="1">
      <alignment horizontal="center"/>
    </xf>
    <xf numFmtId="0" fontId="88" fillId="0" borderId="13" xfId="0" applyNumberFormat="1" applyFont="1" applyFill="1" applyBorder="1" applyAlignment="1">
      <alignment horizontal="center"/>
    </xf>
    <xf numFmtId="3" fontId="78" fillId="0" borderId="0" xfId="0" applyNumberFormat="1" applyFont="1" applyFill="1" applyBorder="1" applyAlignment="1">
      <alignment horizontal="left"/>
    </xf>
    <xf numFmtId="0" fontId="78" fillId="0" borderId="0" xfId="0" applyFont="1" applyFill="1" applyBorder="1" applyAlignment="1">
      <alignment horizontal="left"/>
    </xf>
    <xf numFmtId="0" fontId="89" fillId="0" borderId="0" xfId="0" applyFont="1" applyFill="1" applyBorder="1" applyAlignment="1">
      <alignment horizontal="center"/>
    </xf>
    <xf numFmtId="3" fontId="89" fillId="0" borderId="0" xfId="0" applyNumberFormat="1" applyFont="1" applyFill="1" applyBorder="1" applyAlignment="1">
      <alignment horizontal="center"/>
    </xf>
    <xf numFmtId="0" fontId="89" fillId="0" borderId="0" xfId="0" applyNumberFormat="1" applyFont="1" applyFill="1" applyBorder="1" applyAlignment="1">
      <alignment horizontal="center"/>
    </xf>
    <xf numFmtId="0" fontId="7" fillId="0" borderId="0" xfId="0" applyFont="1" applyAlignment="1">
      <alignment horizontal="center" vertical="center"/>
    </xf>
    <xf numFmtId="0" fontId="4" fillId="0" borderId="0" xfId="0" applyFont="1" applyAlignment="1">
      <alignment vertical="center" wrapText="1"/>
    </xf>
    <xf numFmtId="0" fontId="36" fillId="0" borderId="25" xfId="0" applyFont="1" applyBorder="1" applyAlignment="1">
      <alignment vertical="center"/>
    </xf>
    <xf numFmtId="0" fontId="36" fillId="20" borderId="25" xfId="0" applyFont="1" applyFill="1" applyBorder="1" applyAlignment="1">
      <alignment vertical="center"/>
    </xf>
    <xf numFmtId="0" fontId="36" fillId="20" borderId="26" xfId="0" applyFont="1" applyFill="1" applyBorder="1" applyAlignment="1">
      <alignment horizontal="right" vertical="center"/>
    </xf>
    <xf numFmtId="0" fontId="36" fillId="20" borderId="25" xfId="0" applyFont="1" applyFill="1" applyBorder="1" applyAlignment="1">
      <alignment horizontal="right" vertical="center"/>
    </xf>
    <xf numFmtId="0" fontId="36" fillId="20" borderId="28" xfId="0" applyFont="1" applyFill="1" applyBorder="1" applyAlignment="1">
      <alignment horizontal="right" vertical="center"/>
    </xf>
    <xf numFmtId="0" fontId="4" fillId="0" borderId="27" xfId="0" applyFont="1" applyBorder="1" applyAlignment="1">
      <alignment vertical="center"/>
    </xf>
    <xf numFmtId="0" fontId="4" fillId="20" borderId="27" xfId="0" applyFont="1" applyFill="1" applyBorder="1" applyAlignment="1">
      <alignment vertical="center"/>
    </xf>
    <xf numFmtId="0" fontId="4" fillId="0" borderId="0" xfId="0" applyFont="1" applyAlignment="1">
      <alignment vertical="center"/>
    </xf>
    <xf numFmtId="0" fontId="4" fillId="20" borderId="0" xfId="0" applyFont="1" applyFill="1" applyAlignment="1">
      <alignment vertical="center"/>
    </xf>
    <xf numFmtId="0" fontId="4" fillId="0" borderId="20" xfId="0" applyFont="1" applyBorder="1" applyAlignment="1">
      <alignment vertical="center"/>
    </xf>
    <xf numFmtId="0" fontId="4" fillId="20" borderId="20" xfId="0" applyFont="1" applyFill="1" applyBorder="1" applyAlignment="1">
      <alignment vertical="center"/>
    </xf>
    <xf numFmtId="0" fontId="4" fillId="20" borderId="0" xfId="0" applyFont="1" applyFill="1" applyAlignment="1">
      <alignment vertical="center" wrapText="1"/>
    </xf>
  </cellXfs>
  <cellStyles count="59">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28" builtinId="3"/>
    <cellStyle name="Comma 2" xfId="29"/>
    <cellStyle name="Comma 3" xfId="30"/>
    <cellStyle name="Comma_EDUCAT Chapter 2" xfId="31"/>
    <cellStyle name="Comma_POP &amp; VITAL Chapter 11" xfId="32"/>
    <cellStyle name="Currency" xfId="33" builtinId="4"/>
    <cellStyle name="Explanatory Text 2" xfId="34"/>
    <cellStyle name="Good 2" xfId="35"/>
    <cellStyle name="Heading 1 2" xfId="36"/>
    <cellStyle name="Heading 2 2" xfId="37"/>
    <cellStyle name="Heading 3 2" xfId="38"/>
    <cellStyle name="Heading 4 2" xfId="39"/>
    <cellStyle name="Input 2" xfId="40"/>
    <cellStyle name="Linked Cell 2" xfId="41"/>
    <cellStyle name="Neutral 2" xfId="42"/>
    <cellStyle name="Normal" xfId="0" builtinId="0"/>
    <cellStyle name="Normal 2" xfId="43"/>
    <cellStyle name="Normal 2 2" xfId="44"/>
    <cellStyle name="Normal 2 3" xfId="45"/>
    <cellStyle name="Normal 3" xfId="46"/>
    <cellStyle name="Normal 3 2" xfId="57"/>
    <cellStyle name="Normal 4" xfId="47"/>
    <cellStyle name="Normal 8" xfId="48"/>
    <cellStyle name="Normal_EDUCAT Chapter 2" xfId="49"/>
    <cellStyle name="Normal_POP &amp; VITAL Chapter 11" xfId="50"/>
    <cellStyle name="Normal_Sheet1" xfId="51"/>
    <cellStyle name="Normal_Sheet1 2" xfId="58"/>
    <cellStyle name="Note 2" xfId="52"/>
    <cellStyle name="Output 2" xfId="53"/>
    <cellStyle name="Title 2" xfId="54"/>
    <cellStyle name="Total 2" xfId="55"/>
    <cellStyle name="Warning Text 2" xfId="5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495300</xdr:colOff>
      <xdr:row>0</xdr:row>
      <xdr:rowOff>137160</xdr:rowOff>
    </xdr:from>
    <xdr:to>
      <xdr:col>10</xdr:col>
      <xdr:colOff>662940</xdr:colOff>
      <xdr:row>51</xdr:row>
      <xdr:rowOff>22860</xdr:rowOff>
    </xdr:to>
    <xdr:pic>
      <xdr:nvPicPr>
        <xdr:cNvPr id="1811" name="Picture 2" descr="C:\Documents and Settings\narnia_EU\Desktop\Compendium cover pages 2011\2 Educatio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 y="137160"/>
          <a:ext cx="5135880" cy="849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304800</xdr:colOff>
          <xdr:row>0</xdr:row>
          <xdr:rowOff>66675</xdr:rowOff>
        </xdr:from>
        <xdr:to>
          <xdr:col>1</xdr:col>
          <xdr:colOff>200025</xdr:colOff>
          <xdr:row>3</xdr:row>
          <xdr:rowOff>180975</xdr:rowOff>
        </xdr:to>
        <xdr:sp macro="" textlink="">
          <xdr:nvSpPr>
            <xdr:cNvPr id="18433" name="Object 1" hidden="1">
              <a:extLst>
                <a:ext uri="{63B3BB69-23CF-44E3-9099-C40C66FF867C}">
                  <a14:compatExt spid="_x0000_s18433"/>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0</xdr:row>
          <xdr:rowOff>9525</xdr:rowOff>
        </xdr:from>
        <xdr:to>
          <xdr:col>1</xdr:col>
          <xdr:colOff>104775</xdr:colOff>
          <xdr:row>0</xdr:row>
          <xdr:rowOff>57150</xdr:rowOff>
        </xdr:to>
        <xdr:sp macro="" textlink="">
          <xdr:nvSpPr>
            <xdr:cNvPr id="21505" name="Object 1" hidden="1">
              <a:extLst>
                <a:ext uri="{63B3BB69-23CF-44E3-9099-C40C66FF867C}">
                  <a14:compatExt spid="_x0000_s21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9525</xdr:rowOff>
        </xdr:from>
        <xdr:to>
          <xdr:col>1</xdr:col>
          <xdr:colOff>104775</xdr:colOff>
          <xdr:row>0</xdr:row>
          <xdr:rowOff>57150</xdr:rowOff>
        </xdr:to>
        <xdr:sp macro="" textlink="">
          <xdr:nvSpPr>
            <xdr:cNvPr id="21506" name="Object 2" hidden="1">
              <a:extLst>
                <a:ext uri="{63B3BB69-23CF-44E3-9099-C40C66FF867C}">
                  <a14:compatExt spid="_x0000_s21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xdr:row>
          <xdr:rowOff>76200</xdr:rowOff>
        </xdr:from>
        <xdr:to>
          <xdr:col>1</xdr:col>
          <xdr:colOff>57150</xdr:colOff>
          <xdr:row>5</xdr:row>
          <xdr:rowOff>28575</xdr:rowOff>
        </xdr:to>
        <xdr:sp macro="" textlink="">
          <xdr:nvSpPr>
            <xdr:cNvPr id="21507" name="Object 3" hidden="1">
              <a:extLst>
                <a:ext uri="{63B3BB69-23CF-44E3-9099-C40C66FF867C}">
                  <a14:compatExt spid="_x0000_s21507"/>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419100</xdr:colOff>
          <xdr:row>0</xdr:row>
          <xdr:rowOff>19050</xdr:rowOff>
        </xdr:from>
        <xdr:to>
          <xdr:col>0</xdr:col>
          <xdr:colOff>523875</xdr:colOff>
          <xdr:row>0</xdr:row>
          <xdr:rowOff>57150</xdr:rowOff>
        </xdr:to>
        <xdr:sp macro="" textlink="">
          <xdr:nvSpPr>
            <xdr:cNvPr id="29697" name="Object 1" hidden="1">
              <a:extLst>
                <a:ext uri="{63B3BB69-23CF-44E3-9099-C40C66FF867C}">
                  <a14:compatExt spid="_x0000_s296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0</xdr:row>
          <xdr:rowOff>28575</xdr:rowOff>
        </xdr:from>
        <xdr:to>
          <xdr:col>2</xdr:col>
          <xdr:colOff>161925</xdr:colOff>
          <xdr:row>1</xdr:row>
          <xdr:rowOff>123825</xdr:rowOff>
        </xdr:to>
        <xdr:sp macro="" textlink="">
          <xdr:nvSpPr>
            <xdr:cNvPr id="29698" name="Object 2" hidden="1">
              <a:extLst>
                <a:ext uri="{63B3BB69-23CF-44E3-9099-C40C66FF867C}">
                  <a14:compatExt spid="_x0000_s29698"/>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552450</xdr:colOff>
          <xdr:row>0</xdr:row>
          <xdr:rowOff>0</xdr:rowOff>
        </xdr:from>
        <xdr:to>
          <xdr:col>2</xdr:col>
          <xdr:colOff>314325</xdr:colOff>
          <xdr:row>2</xdr:row>
          <xdr:rowOff>0</xdr:rowOff>
        </xdr:to>
        <xdr:sp macro="" textlink="">
          <xdr:nvSpPr>
            <xdr:cNvPr id="34817" name="Object 1" hidden="1">
              <a:extLst>
                <a:ext uri="{63B3BB69-23CF-44E3-9099-C40C66FF867C}">
                  <a14:compatExt spid="_x0000_s348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2</xdr:col>
          <xdr:colOff>485775</xdr:colOff>
          <xdr:row>2</xdr:row>
          <xdr:rowOff>0</xdr:rowOff>
        </xdr:to>
        <xdr:sp macro="" textlink="">
          <xdr:nvSpPr>
            <xdr:cNvPr id="34819" name="Object 3" hidden="1">
              <a:extLst>
                <a:ext uri="{63B3BB69-23CF-44E3-9099-C40C66FF867C}">
                  <a14:compatExt spid="_x0000_s34819"/>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0</xdr:row>
          <xdr:rowOff>76200</xdr:rowOff>
        </xdr:from>
        <xdr:to>
          <xdr:col>1</xdr:col>
          <xdr:colOff>419100</xdr:colOff>
          <xdr:row>1</xdr:row>
          <xdr:rowOff>104775</xdr:rowOff>
        </xdr:to>
        <xdr:sp macro="" textlink="">
          <xdr:nvSpPr>
            <xdr:cNvPr id="24578" name="Object 2" hidden="1">
              <a:extLst>
                <a:ext uri="{63B3BB69-23CF-44E3-9099-C40C66FF867C}">
                  <a14:compatExt spid="_x0000_s24578"/>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476250</xdr:colOff>
          <xdr:row>1</xdr:row>
          <xdr:rowOff>19050</xdr:rowOff>
        </xdr:from>
        <xdr:to>
          <xdr:col>2</xdr:col>
          <xdr:colOff>47625</xdr:colOff>
          <xdr:row>2</xdr:row>
          <xdr:rowOff>152400</xdr:rowOff>
        </xdr:to>
        <xdr:sp macro="" textlink="">
          <xdr:nvSpPr>
            <xdr:cNvPr id="23556" name="Object 4" hidden="1">
              <a:extLst>
                <a:ext uri="{63B3BB69-23CF-44E3-9099-C40C66FF867C}">
                  <a14:compatExt spid="_x0000_s23556"/>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xdr:colOff>
          <xdr:row>0</xdr:row>
          <xdr:rowOff>28575</xdr:rowOff>
        </xdr:from>
        <xdr:to>
          <xdr:col>1</xdr:col>
          <xdr:colOff>647700</xdr:colOff>
          <xdr:row>1</xdr:row>
          <xdr:rowOff>133350</xdr:rowOff>
        </xdr:to>
        <xdr:sp macro="" textlink="">
          <xdr:nvSpPr>
            <xdr:cNvPr id="36868" name="Object 4" hidden="1">
              <a:extLst>
                <a:ext uri="{63B3BB69-23CF-44E3-9099-C40C66FF867C}">
                  <a14:compatExt spid="_x0000_s36868"/>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1</xdr:row>
          <xdr:rowOff>38100</xdr:rowOff>
        </xdr:from>
        <xdr:to>
          <xdr:col>0</xdr:col>
          <xdr:colOff>552450</xdr:colOff>
          <xdr:row>2</xdr:row>
          <xdr:rowOff>133350</xdr:rowOff>
        </xdr:to>
        <xdr:sp macro="" textlink="">
          <xdr:nvSpPr>
            <xdr:cNvPr id="44034" name="Object 2" hidden="1">
              <a:extLst>
                <a:ext uri="{63B3BB69-23CF-44E3-9099-C40C66FF867C}">
                  <a14:compatExt spid="_x0000_s44034"/>
                </a:ext>
              </a:extLst>
            </xdr:cNvPr>
            <xdr:cNvSpPr/>
          </xdr:nvSpPr>
          <xdr:spPr>
            <a:xfrm>
              <a:off x="0" y="0"/>
              <a:ext cx="0" cy="0"/>
            </a:xfrm>
            <a:prstGeom prst="rect">
              <a:avLst/>
            </a:prstGeom>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390525</xdr:colOff>
          <xdr:row>2</xdr:row>
          <xdr:rowOff>104775</xdr:rowOff>
        </xdr:from>
        <xdr:to>
          <xdr:col>3</xdr:col>
          <xdr:colOff>38100</xdr:colOff>
          <xdr:row>4</xdr:row>
          <xdr:rowOff>57150</xdr:rowOff>
        </xdr:to>
        <xdr:sp macro="" textlink="">
          <xdr:nvSpPr>
            <xdr:cNvPr id="3073" name="Object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0</xdr:row>
          <xdr:rowOff>9525</xdr:rowOff>
        </xdr:from>
        <xdr:to>
          <xdr:col>0</xdr:col>
          <xdr:colOff>171450</xdr:colOff>
          <xdr:row>0</xdr:row>
          <xdr:rowOff>66675</xdr:rowOff>
        </xdr:to>
        <xdr:sp macro="" textlink="">
          <xdr:nvSpPr>
            <xdr:cNvPr id="22529" name="Object 1" hidden="1">
              <a:extLst>
                <a:ext uri="{63B3BB69-23CF-44E3-9099-C40C66FF867C}">
                  <a14:compatExt spid="_x0000_s22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85725</xdr:colOff>
          <xdr:row>2</xdr:row>
          <xdr:rowOff>9525</xdr:rowOff>
        </xdr:from>
        <xdr:to>
          <xdr:col>3</xdr:col>
          <xdr:colOff>142875</xdr:colOff>
          <xdr:row>4</xdr:row>
          <xdr:rowOff>66675</xdr:rowOff>
        </xdr:to>
        <xdr:sp macro="" textlink="">
          <xdr:nvSpPr>
            <xdr:cNvPr id="22531" name="Object 3" hidden="1">
              <a:extLst>
                <a:ext uri="{63B3BB69-23CF-44E3-9099-C40C66FF867C}">
                  <a14:compatExt spid="_x0000_s22531"/>
                </a:ext>
              </a:extLst>
            </xdr:cNvPr>
            <xdr:cNvSpPr/>
          </xdr:nvSpPr>
          <xdr:spPr>
            <a:xfrm>
              <a:off x="0" y="0"/>
              <a:ext cx="0" cy="0"/>
            </a:xfrm>
            <a:prstGeom prst="rect">
              <a:avLst/>
            </a:prstGeom>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171450</xdr:colOff>
          <xdr:row>0</xdr:row>
          <xdr:rowOff>47625</xdr:rowOff>
        </xdr:from>
        <xdr:to>
          <xdr:col>1</xdr:col>
          <xdr:colOff>228600</xdr:colOff>
          <xdr:row>1</xdr:row>
          <xdr:rowOff>19050</xdr:rowOff>
        </xdr:to>
        <xdr:sp macro="" textlink="">
          <xdr:nvSpPr>
            <xdr:cNvPr id="13313" name="Object 1" hidden="1">
              <a:extLst>
                <a:ext uri="{63B3BB69-23CF-44E3-9099-C40C66FF867C}">
                  <a14:compatExt spid="_x0000_s13313"/>
                </a:ext>
              </a:extLst>
            </xdr:cNvPr>
            <xdr:cNvSpPr/>
          </xdr:nvSpPr>
          <xdr:spPr>
            <a:xfrm>
              <a:off x="0" y="0"/>
              <a:ext cx="0" cy="0"/>
            </a:xfrm>
            <a:prstGeom prst="rect">
              <a:avLst/>
            </a:prstGeom>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9525</xdr:rowOff>
        </xdr:from>
        <xdr:to>
          <xdr:col>0</xdr:col>
          <xdr:colOff>323850</xdr:colOff>
          <xdr:row>0</xdr:row>
          <xdr:rowOff>152400</xdr:rowOff>
        </xdr:to>
        <xdr:sp macro="" textlink="">
          <xdr:nvSpPr>
            <xdr:cNvPr id="15361" name="Object 1" hidden="1">
              <a:extLst>
                <a:ext uri="{63B3BB69-23CF-44E3-9099-C40C66FF867C}">
                  <a14:compatExt spid="_x0000_s15361"/>
                </a:ext>
              </a:extLst>
            </xdr:cNvPr>
            <xdr:cNvSpPr/>
          </xdr:nvSpPr>
          <xdr:spPr>
            <a:xfrm>
              <a:off x="0" y="0"/>
              <a:ext cx="0" cy="0"/>
            </a:xfrm>
            <a:prstGeom prst="rect">
              <a:avLst/>
            </a:prstGeom>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9525</xdr:rowOff>
        </xdr:from>
        <xdr:to>
          <xdr:col>1</xdr:col>
          <xdr:colOff>628650</xdr:colOff>
          <xdr:row>2</xdr:row>
          <xdr:rowOff>133350</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xdr:row>
          <xdr:rowOff>57150</xdr:rowOff>
        </xdr:from>
        <xdr:to>
          <xdr:col>1</xdr:col>
          <xdr:colOff>66675</xdr:colOff>
          <xdr:row>2</xdr:row>
          <xdr:rowOff>95250</xdr:rowOff>
        </xdr:to>
        <xdr:sp macro="" textlink="">
          <xdr:nvSpPr>
            <xdr:cNvPr id="6145" name="Object 1" hidden="1">
              <a:extLst>
                <a:ext uri="{63B3BB69-23CF-44E3-9099-C40C66FF867C}">
                  <a14:compatExt spid="_x0000_s6145"/>
                </a:ext>
              </a:extLst>
            </xdr:cNvPr>
            <xdr:cNvSpPr/>
          </xdr:nvSpPr>
          <xdr:spPr>
            <a:xfrm>
              <a:off x="0" y="0"/>
              <a:ext cx="0" cy="0"/>
            </a:xfrm>
            <a:prstGeom prst="rect">
              <a:avLst/>
            </a:prstGeom>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771525</xdr:colOff>
          <xdr:row>0</xdr:row>
          <xdr:rowOff>28575</xdr:rowOff>
        </xdr:from>
        <xdr:to>
          <xdr:col>2</xdr:col>
          <xdr:colOff>1819275</xdr:colOff>
          <xdr:row>3</xdr:row>
          <xdr:rowOff>114300</xdr:rowOff>
        </xdr:to>
        <xdr:sp macro="" textlink="">
          <xdr:nvSpPr>
            <xdr:cNvPr id="39938" name="Object 2" hidden="1">
              <a:extLst>
                <a:ext uri="{63B3BB69-23CF-44E3-9099-C40C66FF867C}">
                  <a14:compatExt spid="_x0000_s39938"/>
                </a:ext>
              </a:extLst>
            </xdr:cNvPr>
            <xdr:cNvSpPr/>
          </xdr:nvSpPr>
          <xdr:spPr>
            <a:xfrm>
              <a:off x="0" y="0"/>
              <a:ext cx="0" cy="0"/>
            </a:xfrm>
            <a:prstGeom prst="rect">
              <a:avLst/>
            </a:prstGeom>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352425</xdr:colOff>
          <xdr:row>0</xdr:row>
          <xdr:rowOff>9525</xdr:rowOff>
        </xdr:from>
        <xdr:to>
          <xdr:col>0</xdr:col>
          <xdr:colOff>428625</xdr:colOff>
          <xdr:row>0</xdr:row>
          <xdr:rowOff>38100</xdr:rowOff>
        </xdr:to>
        <xdr:sp macro="" textlink="">
          <xdr:nvSpPr>
            <xdr:cNvPr id="10241" name="Object 1" hidden="1">
              <a:extLst>
                <a:ext uri="{63B3BB69-23CF-44E3-9099-C40C66FF867C}">
                  <a14:compatExt spid="_x0000_s10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1</xdr:row>
          <xdr:rowOff>95250</xdr:rowOff>
        </xdr:from>
        <xdr:to>
          <xdr:col>3</xdr:col>
          <xdr:colOff>47625</xdr:colOff>
          <xdr:row>3</xdr:row>
          <xdr:rowOff>76200</xdr:rowOff>
        </xdr:to>
        <xdr:sp macro="" textlink="">
          <xdr:nvSpPr>
            <xdr:cNvPr id="10242" name="Object 2" hidden="1">
              <a:extLst>
                <a:ext uri="{63B3BB69-23CF-44E3-9099-C40C66FF867C}">
                  <a14:compatExt spid="_x0000_s10242"/>
                </a:ext>
              </a:extLst>
            </xdr:cNvPr>
            <xdr:cNvSpPr/>
          </xdr:nvSpPr>
          <xdr:spPr>
            <a:xfrm>
              <a:off x="0" y="0"/>
              <a:ext cx="0" cy="0"/>
            </a:xfrm>
            <a:prstGeom prst="rect">
              <a:avLst/>
            </a:prstGeom>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0</xdr:row>
          <xdr:rowOff>57150</xdr:rowOff>
        </xdr:from>
        <xdr:to>
          <xdr:col>2</xdr:col>
          <xdr:colOff>247650</xdr:colOff>
          <xdr:row>0</xdr:row>
          <xdr:rowOff>161925</xdr:rowOff>
        </xdr:to>
        <xdr:sp macro="" textlink="">
          <xdr:nvSpPr>
            <xdr:cNvPr id="19457" name="Object 1" hidden="1">
              <a:extLst>
                <a:ext uri="{63B3BB69-23CF-44E3-9099-C40C66FF867C}">
                  <a14:compatExt spid="_x0000_s19457"/>
                </a:ext>
              </a:extLst>
            </xdr:cNvPr>
            <xdr:cNvSpPr/>
          </xdr:nvSpPr>
          <xdr:spPr>
            <a:xfrm>
              <a:off x="0" y="0"/>
              <a:ext cx="0" cy="0"/>
            </a:xfrm>
            <a:prstGeom prst="rect">
              <a:avLst/>
            </a:prstGeom>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xdr:colOff>
          <xdr:row>0</xdr:row>
          <xdr:rowOff>9525</xdr:rowOff>
        </xdr:from>
        <xdr:to>
          <xdr:col>2</xdr:col>
          <xdr:colOff>28575</xdr:colOff>
          <xdr:row>0</xdr:row>
          <xdr:rowOff>161925</xdr:rowOff>
        </xdr:to>
        <xdr:sp macro="" textlink="">
          <xdr:nvSpPr>
            <xdr:cNvPr id="38914" name="Object 2" hidden="1">
              <a:extLst>
                <a:ext uri="{63B3BB69-23CF-44E3-9099-C40C66FF867C}">
                  <a14:compatExt spid="_x0000_s38914"/>
                </a:ext>
              </a:extLst>
            </xdr:cNvPr>
            <xdr:cNvSpPr/>
          </xdr:nvSpPr>
          <xdr:spPr>
            <a:xfrm>
              <a:off x="0" y="0"/>
              <a:ext cx="0" cy="0"/>
            </a:xfrm>
            <a:prstGeom prst="rect">
              <a:avLst/>
            </a:prstGeom>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409575</xdr:colOff>
          <xdr:row>0</xdr:row>
          <xdr:rowOff>0</xdr:rowOff>
        </xdr:from>
        <xdr:to>
          <xdr:col>3</xdr:col>
          <xdr:colOff>962025</xdr:colOff>
          <xdr:row>3</xdr:row>
          <xdr:rowOff>85725</xdr:rowOff>
        </xdr:to>
        <xdr:sp macro="" textlink="">
          <xdr:nvSpPr>
            <xdr:cNvPr id="55297" name="Object 1" hidden="1">
              <a:extLst>
                <a:ext uri="{63B3BB69-23CF-44E3-9099-C40C66FF867C}">
                  <a14:compatExt spid="_x0000_s55297"/>
                </a:ext>
              </a:extLst>
            </xdr:cNvPr>
            <xdr:cNvSpPr/>
          </xdr:nvSpPr>
          <xdr:spPr>
            <a:xfrm>
              <a:off x="0" y="0"/>
              <a:ext cx="0" cy="0"/>
            </a:xfrm>
            <a:prstGeom prst="rect">
              <a:avLst/>
            </a:prstGeom>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266700</xdr:colOff>
          <xdr:row>0</xdr:row>
          <xdr:rowOff>95250</xdr:rowOff>
        </xdr:from>
        <xdr:to>
          <xdr:col>2</xdr:col>
          <xdr:colOff>1314450</xdr:colOff>
          <xdr:row>3</xdr:row>
          <xdr:rowOff>152400</xdr:rowOff>
        </xdr:to>
        <xdr:sp macro="" textlink="">
          <xdr:nvSpPr>
            <xdr:cNvPr id="56321" name="Object 1" hidden="1">
              <a:extLst>
                <a:ext uri="{63B3BB69-23CF-44E3-9099-C40C66FF867C}">
                  <a14:compatExt spid="_x0000_s5632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png"/><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4.bin"/><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3.bin"/><Relationship Id="rId5" Type="http://schemas.openxmlformats.org/officeDocument/2006/relationships/image" Target="../media/image2.png"/><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oleObject" Target="../embeddings/oleObject6.bin"/><Relationship Id="rId5" Type="http://schemas.openxmlformats.org/officeDocument/2006/relationships/image" Target="../media/image2.png"/><Relationship Id="rId4" Type="http://schemas.openxmlformats.org/officeDocument/2006/relationships/oleObject" Target="../embeddings/oleObject5.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oleObject" Target="../embeddings/oleObject8.bin"/><Relationship Id="rId5" Type="http://schemas.openxmlformats.org/officeDocument/2006/relationships/image" Target="../media/image2.png"/><Relationship Id="rId4" Type="http://schemas.openxmlformats.org/officeDocument/2006/relationships/oleObject" Target="../embeddings/oleObject7.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2.png"/><Relationship Id="rId4" Type="http://schemas.openxmlformats.org/officeDocument/2006/relationships/oleObject" Target="../embeddings/oleObject9.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image" Target="../media/image2.png"/><Relationship Id="rId4" Type="http://schemas.openxmlformats.org/officeDocument/2006/relationships/oleObject" Target="../embeddings/oleObject10.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image" Target="../media/image2.png"/><Relationship Id="rId4" Type="http://schemas.openxmlformats.org/officeDocument/2006/relationships/oleObject" Target="../embeddings/oleObject11.bin"/></Relationships>
</file>

<file path=xl/worksheets/_rels/sheet9.xml.rels><?xml version="1.0" encoding="UTF-8" standalone="yes"?>
<Relationships xmlns="http://schemas.openxmlformats.org/package/2006/relationships"><Relationship Id="rId3" Type="http://schemas.openxmlformats.org/officeDocument/2006/relationships/oleObject" Target="../embeddings/oleObject12.bin"/><Relationship Id="rId2" Type="http://schemas.openxmlformats.org/officeDocument/2006/relationships/vmlDrawing" Target="../drawings/vmlDrawing8.vml"/><Relationship Id="rId1" Type="http://schemas.openxmlformats.org/officeDocument/2006/relationships/drawing" Target="../drawings/drawing9.xml"/><Relationship Id="rId4" Type="http://schemas.openxmlformats.org/officeDocument/2006/relationships/image" Target="../media/image2.png"/></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9.bin"/><Relationship Id="rId5" Type="http://schemas.openxmlformats.org/officeDocument/2006/relationships/image" Target="../media/image2.png"/><Relationship Id="rId4" Type="http://schemas.openxmlformats.org/officeDocument/2006/relationships/oleObject" Target="../embeddings/oleObject13.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0.bin"/><Relationship Id="rId6" Type="http://schemas.openxmlformats.org/officeDocument/2006/relationships/oleObject" Target="../embeddings/oleObject15.bin"/><Relationship Id="rId5" Type="http://schemas.openxmlformats.org/officeDocument/2006/relationships/image" Target="../media/image2.png"/><Relationship Id="rId4" Type="http://schemas.openxmlformats.org/officeDocument/2006/relationships/oleObject" Target="../embeddings/oleObject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comments" Target="../comments1.xml"/><Relationship Id="rId5" Type="http://schemas.openxmlformats.org/officeDocument/2006/relationships/image" Target="../media/image2.png"/><Relationship Id="rId4" Type="http://schemas.openxmlformats.org/officeDocument/2006/relationships/oleObject" Target="../embeddings/oleObject16.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4.bin"/><Relationship Id="rId5" Type="http://schemas.openxmlformats.org/officeDocument/2006/relationships/image" Target="../media/image2.png"/><Relationship Id="rId4" Type="http://schemas.openxmlformats.org/officeDocument/2006/relationships/oleObject" Target="../embeddings/oleObject17.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5.bin"/><Relationship Id="rId5" Type="http://schemas.openxmlformats.org/officeDocument/2006/relationships/image" Target="../media/image2.png"/><Relationship Id="rId4" Type="http://schemas.openxmlformats.org/officeDocument/2006/relationships/oleObject" Target="../embeddings/oleObject18.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6.bin"/><Relationship Id="rId5" Type="http://schemas.openxmlformats.org/officeDocument/2006/relationships/image" Target="../media/image2.png"/><Relationship Id="rId4" Type="http://schemas.openxmlformats.org/officeDocument/2006/relationships/oleObject" Target="../embeddings/oleObject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8.bin"/><Relationship Id="rId5" Type="http://schemas.openxmlformats.org/officeDocument/2006/relationships/image" Target="../media/image2.png"/><Relationship Id="rId4" Type="http://schemas.openxmlformats.org/officeDocument/2006/relationships/oleObject" Target="../embeddings/oleObject20.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9.bin"/><Relationship Id="rId6" Type="http://schemas.openxmlformats.org/officeDocument/2006/relationships/oleObject" Target="../embeddings/oleObject22.bin"/><Relationship Id="rId5" Type="http://schemas.openxmlformats.org/officeDocument/2006/relationships/image" Target="../media/image2.png"/><Relationship Id="rId4" Type="http://schemas.openxmlformats.org/officeDocument/2006/relationships/oleObject" Target="../embeddings/oleObject21.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20.bin"/><Relationship Id="rId5" Type="http://schemas.openxmlformats.org/officeDocument/2006/relationships/image" Target="../media/image2.png"/><Relationship Id="rId4" Type="http://schemas.openxmlformats.org/officeDocument/2006/relationships/oleObject" Target="../embeddings/oleObject23.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21.bin"/><Relationship Id="rId5" Type="http://schemas.openxmlformats.org/officeDocument/2006/relationships/image" Target="../media/image2.png"/><Relationship Id="rId4" Type="http://schemas.openxmlformats.org/officeDocument/2006/relationships/oleObject" Target="../embeddings/oleObject24.bin"/></Relationships>
</file>

<file path=xl/worksheets/_rels/sheet23.xml.rels><?xml version="1.0" encoding="UTF-8" standalone="yes"?>
<Relationships xmlns="http://schemas.openxmlformats.org/package/2006/relationships"><Relationship Id="rId3" Type="http://schemas.openxmlformats.org/officeDocument/2006/relationships/oleObject" Target="../embeddings/oleObject25.bin"/><Relationship Id="rId2" Type="http://schemas.openxmlformats.org/officeDocument/2006/relationships/vmlDrawing" Target="../drawings/vmlDrawing19.vml"/><Relationship Id="rId1" Type="http://schemas.openxmlformats.org/officeDocument/2006/relationships/drawing" Target="../drawings/drawing20.xml"/><Relationship Id="rId4" Type="http://schemas.openxmlformats.org/officeDocument/2006/relationships/image" Target="../media/image2.png"/></Relationships>
</file>

<file path=xl/worksheets/_rels/sheet24.xml.rels><?xml version="1.0" encoding="UTF-8" standalone="yes"?>
<Relationships xmlns="http://schemas.openxmlformats.org/package/2006/relationships"><Relationship Id="rId3" Type="http://schemas.openxmlformats.org/officeDocument/2006/relationships/oleObject" Target="../embeddings/oleObject26.bin"/><Relationship Id="rId2" Type="http://schemas.openxmlformats.org/officeDocument/2006/relationships/vmlDrawing" Target="../drawings/vmlDrawing20.vml"/><Relationship Id="rId1" Type="http://schemas.openxmlformats.org/officeDocument/2006/relationships/drawing" Target="../drawings/drawing21.xml"/><Relationship Id="rId4" Type="http://schemas.openxmlformats.org/officeDocument/2006/relationships/image" Target="../media/image2.png"/></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M60"/>
  <sheetViews>
    <sheetView view="pageBreakPreview" zoomScale="90" zoomScaleNormal="100" zoomScaleSheetLayoutView="90" workbookViewId="0">
      <selection activeCell="B12" sqref="B12:M60"/>
    </sheetView>
  </sheetViews>
  <sheetFormatPr defaultRowHeight="12.75" x14ac:dyDescent="0.2"/>
  <cols>
    <col min="5" max="5" width="10.42578125" customWidth="1"/>
    <col min="6" max="6" width="0.140625" customWidth="1"/>
    <col min="7" max="7" width="8.5703125" customWidth="1"/>
    <col min="11" max="12" width="16" customWidth="1"/>
    <col min="13" max="13" width="15.7109375" customWidth="1"/>
  </cols>
  <sheetData>
    <row r="2" spans="2:13" x14ac:dyDescent="0.2">
      <c r="C2" s="165"/>
      <c r="D2" s="165"/>
      <c r="E2" s="165"/>
      <c r="F2" s="165"/>
      <c r="G2" s="165"/>
      <c r="H2" s="165"/>
      <c r="I2" s="165"/>
      <c r="J2" s="165"/>
      <c r="K2" s="165"/>
      <c r="L2" s="165"/>
      <c r="M2" s="165"/>
    </row>
    <row r="3" spans="2:13" x14ac:dyDescent="0.2">
      <c r="C3" s="165"/>
      <c r="D3" s="165"/>
      <c r="E3" s="165"/>
      <c r="F3" s="165"/>
      <c r="G3" s="165"/>
      <c r="H3" s="165"/>
      <c r="I3" s="165"/>
      <c r="J3" s="165"/>
      <c r="K3" s="165"/>
      <c r="L3" s="165"/>
      <c r="M3" s="165"/>
    </row>
    <row r="4" spans="2:13" ht="15" x14ac:dyDescent="0.25">
      <c r="C4" s="165"/>
      <c r="D4" s="165"/>
      <c r="E4" s="165"/>
      <c r="F4" s="165"/>
      <c r="G4" s="165"/>
      <c r="H4" s="166"/>
      <c r="I4" s="166"/>
      <c r="J4" s="166"/>
      <c r="K4" s="166"/>
      <c r="L4" s="166"/>
      <c r="M4" s="167"/>
    </row>
    <row r="5" spans="2:13" s="29" customFormat="1" ht="9" customHeight="1" x14ac:dyDescent="0.2">
      <c r="C5" s="165"/>
      <c r="D5" s="165"/>
      <c r="E5" s="165"/>
      <c r="F5" s="165"/>
      <c r="G5" s="165"/>
      <c r="H5" s="165"/>
      <c r="I5" s="165"/>
      <c r="J5" s="165"/>
      <c r="K5" s="165"/>
      <c r="L5" s="165"/>
      <c r="M5" s="165"/>
    </row>
    <row r="6" spans="2:13" x14ac:dyDescent="0.2">
      <c r="C6" s="165"/>
      <c r="D6" s="165"/>
      <c r="E6" s="165"/>
      <c r="F6" s="165"/>
      <c r="G6" s="165"/>
      <c r="H6" s="165"/>
      <c r="I6" s="165"/>
      <c r="J6" s="165"/>
      <c r="K6" s="165"/>
      <c r="L6" s="165"/>
      <c r="M6" s="165"/>
    </row>
    <row r="7" spans="2:13" x14ac:dyDescent="0.2">
      <c r="C7" s="168"/>
      <c r="D7" s="168"/>
      <c r="E7" s="168"/>
      <c r="F7" s="168"/>
      <c r="G7" s="168"/>
      <c r="H7" s="168"/>
      <c r="I7" s="168"/>
      <c r="J7" s="168"/>
      <c r="K7" s="168"/>
      <c r="L7" s="168"/>
      <c r="M7" s="165"/>
    </row>
    <row r="8" spans="2:13" x14ac:dyDescent="0.2">
      <c r="C8" s="165"/>
      <c r="D8" s="165"/>
      <c r="E8" s="165"/>
      <c r="F8" s="165"/>
      <c r="G8" s="165"/>
      <c r="H8" s="165"/>
      <c r="I8" s="165"/>
      <c r="J8" s="165"/>
      <c r="K8" s="165"/>
      <c r="L8" s="165"/>
      <c r="M8" s="165"/>
    </row>
    <row r="9" spans="2:13" ht="20.25" x14ac:dyDescent="0.3">
      <c r="B9" s="180"/>
      <c r="C9" s="180"/>
      <c r="D9" s="392"/>
      <c r="E9" s="393">
        <v>2</v>
      </c>
      <c r="F9" s="719" t="s">
        <v>0</v>
      </c>
      <c r="G9" s="719"/>
      <c r="H9" s="719"/>
      <c r="I9" s="345"/>
      <c r="J9" s="345"/>
      <c r="K9" s="390"/>
      <c r="L9" s="390"/>
      <c r="M9" s="169"/>
    </row>
    <row r="10" spans="2:13" x14ac:dyDescent="0.2">
      <c r="B10" s="174"/>
      <c r="C10" s="174"/>
      <c r="D10" s="174"/>
      <c r="E10" s="174"/>
      <c r="F10" s="174"/>
      <c r="G10" s="174"/>
      <c r="H10" s="174"/>
      <c r="I10" s="174"/>
      <c r="J10" s="174"/>
      <c r="K10" s="174"/>
      <c r="L10" s="174"/>
      <c r="M10" s="165"/>
    </row>
    <row r="11" spans="2:13" x14ac:dyDescent="0.2">
      <c r="B11" s="174"/>
      <c r="C11" s="174"/>
      <c r="D11" s="174"/>
      <c r="E11" s="174"/>
      <c r="F11" s="174"/>
      <c r="G11" s="174"/>
      <c r="H11" s="174"/>
      <c r="I11" s="174"/>
      <c r="J11" s="174"/>
      <c r="K11" s="174"/>
      <c r="L11" s="174"/>
      <c r="M11" s="165"/>
    </row>
    <row r="12" spans="2:13" x14ac:dyDescent="0.2">
      <c r="B12" s="174"/>
      <c r="C12" s="174"/>
      <c r="D12" s="174"/>
      <c r="E12" s="174"/>
      <c r="F12" s="174"/>
      <c r="G12" s="174"/>
      <c r="H12" s="174"/>
      <c r="I12" s="174"/>
      <c r="J12" s="174"/>
      <c r="K12" s="174"/>
      <c r="L12" s="174"/>
      <c r="M12" s="165"/>
    </row>
    <row r="13" spans="2:13" x14ac:dyDescent="0.2">
      <c r="B13" s="174"/>
      <c r="C13" s="174"/>
      <c r="D13" s="174"/>
      <c r="E13" s="174"/>
      <c r="F13" s="174"/>
      <c r="G13" s="174"/>
      <c r="H13" s="174"/>
      <c r="I13" s="174"/>
      <c r="J13" s="174"/>
      <c r="K13" s="174"/>
      <c r="L13" s="174"/>
      <c r="M13" s="165"/>
    </row>
    <row r="14" spans="2:13" x14ac:dyDescent="0.2">
      <c r="B14" s="174"/>
      <c r="C14" s="174"/>
      <c r="D14" s="174"/>
      <c r="E14" s="174"/>
      <c r="F14" s="174"/>
      <c r="G14" s="174"/>
      <c r="H14" s="174"/>
      <c r="I14" s="174"/>
      <c r="J14" s="174"/>
      <c r="K14" s="174"/>
      <c r="L14" s="174"/>
      <c r="M14" s="165"/>
    </row>
    <row r="15" spans="2:13" x14ac:dyDescent="0.2">
      <c r="B15" s="174"/>
      <c r="C15" s="174"/>
      <c r="D15" s="174"/>
      <c r="E15" s="174"/>
      <c r="F15" s="174"/>
      <c r="G15" s="174"/>
      <c r="H15" s="174"/>
      <c r="I15" s="174"/>
      <c r="J15" s="174"/>
      <c r="K15" s="174"/>
      <c r="L15" s="174"/>
      <c r="M15" s="165"/>
    </row>
    <row r="16" spans="2:13" x14ac:dyDescent="0.2">
      <c r="B16" s="174"/>
      <c r="C16" s="174"/>
      <c r="D16" s="174"/>
      <c r="E16" s="174"/>
      <c r="F16" s="174"/>
      <c r="G16" s="174"/>
      <c r="H16" s="174"/>
      <c r="I16" s="174"/>
      <c r="J16" s="174"/>
      <c r="K16" s="174"/>
      <c r="L16" s="174"/>
      <c r="M16" s="165"/>
    </row>
    <row r="17" spans="2:13" x14ac:dyDescent="0.2">
      <c r="B17" s="174"/>
      <c r="C17" s="174"/>
      <c r="D17" s="174"/>
      <c r="E17" s="174"/>
      <c r="F17" s="174"/>
      <c r="G17" s="174"/>
      <c r="H17" s="174"/>
      <c r="I17" s="174"/>
      <c r="J17" s="174"/>
      <c r="K17" s="174"/>
      <c r="L17" s="174"/>
      <c r="M17" s="165"/>
    </row>
    <row r="18" spans="2:13" x14ac:dyDescent="0.2">
      <c r="B18" s="174"/>
      <c r="C18" s="174"/>
      <c r="D18" s="174"/>
      <c r="E18" s="174"/>
      <c r="F18" s="174"/>
      <c r="G18" s="174"/>
      <c r="H18" s="174"/>
      <c r="I18" s="174"/>
      <c r="J18" s="174"/>
      <c r="K18" s="174"/>
      <c r="L18" s="174"/>
      <c r="M18" s="165"/>
    </row>
    <row r="19" spans="2:13" x14ac:dyDescent="0.2">
      <c r="B19" s="174"/>
      <c r="C19" s="174" t="s">
        <v>1</v>
      </c>
      <c r="D19" s="174"/>
      <c r="E19" s="174"/>
      <c r="F19" s="174"/>
      <c r="G19" s="174"/>
      <c r="H19" s="174"/>
      <c r="I19" s="174"/>
      <c r="J19" s="174"/>
      <c r="K19" s="174"/>
      <c r="L19" s="174"/>
      <c r="M19" s="165"/>
    </row>
    <row r="20" spans="2:13" x14ac:dyDescent="0.2">
      <c r="B20" s="174"/>
      <c r="C20" s="174"/>
      <c r="D20" s="174"/>
      <c r="E20" s="174"/>
      <c r="F20" s="174"/>
      <c r="G20" s="174"/>
      <c r="H20" s="174"/>
      <c r="I20" s="174"/>
      <c r="J20" s="174"/>
      <c r="K20" s="174"/>
      <c r="L20" s="174"/>
      <c r="M20" s="165"/>
    </row>
    <row r="21" spans="2:13" x14ac:dyDescent="0.2">
      <c r="B21" s="174"/>
      <c r="C21" s="174"/>
      <c r="D21" s="174"/>
      <c r="E21" s="174"/>
      <c r="F21" s="174"/>
      <c r="G21" s="174"/>
      <c r="H21" s="174"/>
      <c r="I21" s="174"/>
      <c r="J21" s="174"/>
      <c r="K21" s="174"/>
      <c r="L21" s="174"/>
      <c r="M21" s="165"/>
    </row>
    <row r="22" spans="2:13" x14ac:dyDescent="0.2">
      <c r="B22" s="174"/>
      <c r="C22" s="174"/>
      <c r="D22" s="174"/>
      <c r="E22" s="174"/>
      <c r="F22" s="174"/>
      <c r="G22" s="174"/>
      <c r="H22" s="174"/>
      <c r="I22" s="174"/>
      <c r="J22" s="174"/>
      <c r="K22" s="174"/>
      <c r="L22" s="174"/>
      <c r="M22" s="165"/>
    </row>
    <row r="23" spans="2:13" x14ac:dyDescent="0.2">
      <c r="B23" s="174"/>
      <c r="C23" s="174"/>
      <c r="D23" s="174"/>
      <c r="E23" s="174"/>
      <c r="F23" s="174"/>
      <c r="G23" s="174"/>
      <c r="H23" s="174"/>
      <c r="I23" s="174"/>
      <c r="J23" s="174"/>
      <c r="K23" s="174"/>
      <c r="L23" s="174"/>
      <c r="M23" s="165"/>
    </row>
    <row r="24" spans="2:13" x14ac:dyDescent="0.2">
      <c r="B24" s="174"/>
      <c r="C24" s="174"/>
      <c r="D24" s="174"/>
      <c r="E24" s="174"/>
      <c r="F24" s="174"/>
      <c r="G24" s="174"/>
      <c r="H24" s="174"/>
      <c r="I24" s="174"/>
      <c r="J24" s="174"/>
      <c r="K24" s="174"/>
      <c r="L24" s="174"/>
      <c r="M24" s="165"/>
    </row>
    <row r="25" spans="2:13" x14ac:dyDescent="0.2">
      <c r="B25" s="174"/>
      <c r="C25" s="174"/>
      <c r="D25" s="174"/>
      <c r="E25" s="174"/>
      <c r="F25" s="174"/>
      <c r="G25" s="174"/>
      <c r="H25" s="174"/>
      <c r="I25" s="174"/>
      <c r="J25" s="174"/>
      <c r="K25" s="174"/>
      <c r="L25" s="174"/>
      <c r="M25" s="165"/>
    </row>
    <row r="26" spans="2:13" x14ac:dyDescent="0.2">
      <c r="B26" s="174"/>
      <c r="C26" s="174"/>
      <c r="D26" s="174"/>
      <c r="E26" s="174"/>
      <c r="F26" s="174"/>
      <c r="G26" s="174"/>
      <c r="H26" s="174"/>
      <c r="I26" s="174"/>
      <c r="J26" s="174"/>
      <c r="K26" s="174"/>
      <c r="L26" s="174"/>
      <c r="M26" s="165"/>
    </row>
    <row r="27" spans="2:13" x14ac:dyDescent="0.2">
      <c r="B27" s="174"/>
      <c r="C27" s="174"/>
      <c r="D27" s="174"/>
      <c r="E27" s="174"/>
      <c r="F27" s="174"/>
      <c r="G27" s="174"/>
      <c r="H27" s="174"/>
      <c r="I27" s="174"/>
      <c r="J27" s="174"/>
      <c r="K27" s="174"/>
      <c r="L27" s="174"/>
      <c r="M27" s="165"/>
    </row>
    <row r="28" spans="2:13" x14ac:dyDescent="0.2">
      <c r="B28" s="174"/>
      <c r="C28" s="174"/>
      <c r="D28" s="174"/>
      <c r="E28" s="174"/>
      <c r="F28" s="174"/>
      <c r="G28" s="174"/>
      <c r="H28" s="174"/>
      <c r="I28" s="174"/>
      <c r="J28" s="174"/>
      <c r="K28" s="174"/>
      <c r="L28" s="174"/>
      <c r="M28" s="165"/>
    </row>
    <row r="29" spans="2:13" x14ac:dyDescent="0.2">
      <c r="B29" s="174"/>
      <c r="C29" s="174"/>
      <c r="D29" s="174"/>
      <c r="E29" s="174"/>
      <c r="F29" s="174"/>
      <c r="G29" s="174"/>
      <c r="H29" s="174"/>
      <c r="I29" s="174"/>
      <c r="J29" s="174"/>
      <c r="K29" s="174"/>
      <c r="L29" s="174"/>
      <c r="M29" s="165"/>
    </row>
    <row r="30" spans="2:13" x14ac:dyDescent="0.2">
      <c r="B30" s="174"/>
      <c r="C30" s="174"/>
      <c r="D30" s="174"/>
      <c r="E30" s="174"/>
      <c r="F30" s="174"/>
      <c r="G30" s="174"/>
      <c r="H30" s="174"/>
      <c r="I30" s="174"/>
      <c r="J30" s="174"/>
      <c r="K30" s="174"/>
      <c r="L30" s="174"/>
      <c r="M30" s="165"/>
    </row>
    <row r="31" spans="2:13" x14ac:dyDescent="0.2">
      <c r="B31" s="174"/>
      <c r="C31" s="174"/>
      <c r="D31" s="174"/>
      <c r="E31" s="174"/>
      <c r="F31" s="174"/>
      <c r="G31" s="174"/>
      <c r="H31" s="174"/>
      <c r="I31" s="174"/>
      <c r="J31" s="174"/>
      <c r="K31" s="174"/>
      <c r="L31" s="174"/>
      <c r="M31" s="165"/>
    </row>
    <row r="32" spans="2:13" x14ac:dyDescent="0.2">
      <c r="B32" s="174"/>
      <c r="C32" s="174"/>
      <c r="D32" s="174"/>
      <c r="E32" s="174"/>
      <c r="F32" s="174"/>
      <c r="G32" s="174"/>
      <c r="H32" s="174"/>
      <c r="I32" s="174"/>
      <c r="J32" s="174"/>
      <c r="K32" s="174"/>
      <c r="L32" s="174"/>
      <c r="M32" s="165"/>
    </row>
    <row r="33" spans="2:13" x14ac:dyDescent="0.2">
      <c r="B33" s="174"/>
      <c r="C33" s="174"/>
      <c r="D33" s="174"/>
      <c r="E33" s="174"/>
      <c r="F33" s="174"/>
      <c r="G33" s="174"/>
      <c r="H33" s="174"/>
      <c r="I33" s="174"/>
      <c r="J33" s="174"/>
      <c r="K33" s="174"/>
      <c r="L33" s="174"/>
      <c r="M33" s="165"/>
    </row>
    <row r="34" spans="2:13" x14ac:dyDescent="0.2">
      <c r="B34" s="174"/>
      <c r="C34" s="174"/>
      <c r="D34" s="174"/>
      <c r="E34" s="174"/>
      <c r="F34" s="174"/>
      <c r="G34" s="174"/>
      <c r="H34" s="174"/>
      <c r="I34" s="174"/>
      <c r="J34" s="174"/>
      <c r="K34" s="174"/>
      <c r="L34" s="174"/>
      <c r="M34" s="165"/>
    </row>
    <row r="35" spans="2:13" x14ac:dyDescent="0.2">
      <c r="B35" s="174"/>
      <c r="C35" s="174"/>
      <c r="D35" s="174"/>
      <c r="E35" s="174"/>
      <c r="F35" s="174"/>
      <c r="G35" s="174"/>
      <c r="H35" s="174"/>
      <c r="I35" s="174"/>
      <c r="J35" s="174"/>
      <c r="K35" s="174"/>
      <c r="L35" s="174"/>
      <c r="M35" s="165"/>
    </row>
    <row r="36" spans="2:13" x14ac:dyDescent="0.2">
      <c r="B36" s="174"/>
      <c r="C36" s="174"/>
      <c r="D36" s="174"/>
      <c r="E36" s="174"/>
      <c r="F36" s="174"/>
      <c r="G36" s="174"/>
      <c r="H36" s="174"/>
      <c r="I36" s="174"/>
      <c r="J36" s="174"/>
      <c r="K36" s="174"/>
      <c r="L36" s="174"/>
      <c r="M36" s="165"/>
    </row>
    <row r="37" spans="2:13" x14ac:dyDescent="0.2">
      <c r="B37" s="174"/>
      <c r="C37" s="174"/>
      <c r="D37" s="174"/>
      <c r="E37" s="174"/>
      <c r="F37" s="174"/>
      <c r="G37" s="174"/>
      <c r="H37" s="174"/>
      <c r="I37" s="174"/>
      <c r="J37" s="174"/>
      <c r="K37" s="174"/>
      <c r="L37" s="174"/>
      <c r="M37" s="165"/>
    </row>
    <row r="38" spans="2:13" x14ac:dyDescent="0.2">
      <c r="B38" s="174"/>
      <c r="C38" s="174"/>
      <c r="D38" s="174"/>
      <c r="E38" s="174"/>
      <c r="F38" s="174"/>
      <c r="G38" s="174"/>
      <c r="H38" s="174"/>
      <c r="I38" s="174"/>
      <c r="J38" s="174"/>
      <c r="K38" s="174"/>
      <c r="L38" s="174"/>
      <c r="M38" s="165"/>
    </row>
    <row r="39" spans="2:13" x14ac:dyDescent="0.2">
      <c r="B39" s="174"/>
      <c r="C39" s="174"/>
      <c r="D39" s="174"/>
      <c r="E39" s="174"/>
      <c r="F39" s="174"/>
      <c r="G39" s="174"/>
      <c r="H39" s="174"/>
      <c r="I39" s="174"/>
      <c r="J39" s="174"/>
      <c r="K39" s="174"/>
      <c r="L39" s="174"/>
      <c r="M39" s="165"/>
    </row>
    <row r="40" spans="2:13" x14ac:dyDescent="0.2">
      <c r="B40" s="174"/>
      <c r="C40" s="174"/>
      <c r="D40" s="174"/>
      <c r="E40" s="174"/>
      <c r="F40" s="174"/>
      <c r="G40" s="174"/>
      <c r="H40" s="174"/>
      <c r="I40" s="174"/>
      <c r="J40" s="174"/>
      <c r="K40" s="174"/>
      <c r="L40" s="174"/>
      <c r="M40" s="165"/>
    </row>
    <row r="41" spans="2:13" x14ac:dyDescent="0.2">
      <c r="B41" s="174"/>
      <c r="C41" s="174"/>
      <c r="D41" s="174"/>
      <c r="E41" s="174"/>
      <c r="F41" s="174"/>
      <c r="G41" s="174"/>
      <c r="H41" s="174"/>
      <c r="I41" s="174"/>
      <c r="J41" s="174"/>
      <c r="K41" s="174"/>
      <c r="L41" s="174"/>
      <c r="M41" s="165"/>
    </row>
    <row r="42" spans="2:13" x14ac:dyDescent="0.2">
      <c r="B42" s="174"/>
      <c r="C42" s="174"/>
      <c r="D42" s="174"/>
      <c r="E42" s="174"/>
      <c r="F42" s="174"/>
      <c r="G42" s="174"/>
      <c r="H42" s="174"/>
      <c r="I42" s="174"/>
      <c r="J42" s="174"/>
      <c r="K42" s="174"/>
      <c r="L42" s="174"/>
      <c r="M42" s="165"/>
    </row>
    <row r="43" spans="2:13" x14ac:dyDescent="0.2">
      <c r="B43" s="174"/>
      <c r="C43" s="174"/>
      <c r="D43" s="174"/>
      <c r="E43" s="174"/>
      <c r="F43" s="174"/>
      <c r="G43" s="174"/>
      <c r="H43" s="174"/>
      <c r="I43" s="174"/>
      <c r="J43" s="174"/>
      <c r="K43" s="174"/>
      <c r="L43" s="174"/>
      <c r="M43" s="165"/>
    </row>
    <row r="44" spans="2:13" x14ac:dyDescent="0.2">
      <c r="B44" s="174"/>
      <c r="C44" s="174"/>
      <c r="D44" s="174"/>
      <c r="E44" s="174"/>
      <c r="F44" s="174"/>
      <c r="G44" s="174"/>
      <c r="H44" s="174"/>
      <c r="I44" s="174"/>
      <c r="J44" s="174"/>
      <c r="K44" s="174"/>
      <c r="L44" s="174"/>
      <c r="M44" s="165"/>
    </row>
    <row r="45" spans="2:13" x14ac:dyDescent="0.2">
      <c r="B45" s="174"/>
      <c r="C45" s="174"/>
      <c r="D45" s="174"/>
      <c r="E45" s="174"/>
      <c r="F45" s="174"/>
      <c r="G45" s="174"/>
      <c r="H45" s="174"/>
      <c r="I45" s="174"/>
      <c r="J45" s="174"/>
      <c r="K45" s="174"/>
      <c r="L45" s="174"/>
      <c r="M45" s="165"/>
    </row>
    <row r="46" spans="2:13" x14ac:dyDescent="0.2">
      <c r="B46" s="174"/>
      <c r="C46" s="174"/>
      <c r="D46" s="174"/>
      <c r="E46" s="174"/>
      <c r="F46" s="174"/>
      <c r="G46" s="174"/>
      <c r="H46" s="174"/>
      <c r="I46" s="174"/>
      <c r="J46" s="174"/>
      <c r="K46" s="174"/>
      <c r="L46" s="174"/>
      <c r="M46" s="165"/>
    </row>
    <row r="47" spans="2:13" x14ac:dyDescent="0.2">
      <c r="B47" s="174"/>
      <c r="C47" s="174"/>
      <c r="D47" s="174"/>
      <c r="E47" s="174"/>
      <c r="F47" s="174"/>
      <c r="G47" s="174"/>
      <c r="H47" s="174"/>
      <c r="I47" s="174"/>
      <c r="J47" s="174"/>
      <c r="K47" s="174"/>
      <c r="L47" s="174"/>
      <c r="M47" s="165"/>
    </row>
    <row r="48" spans="2:13" x14ac:dyDescent="0.2">
      <c r="B48" s="174"/>
      <c r="C48" s="174"/>
      <c r="D48" s="174"/>
      <c r="E48" s="174"/>
      <c r="F48" s="174"/>
      <c r="G48" s="174"/>
      <c r="H48" s="174"/>
      <c r="I48" s="174"/>
      <c r="J48" s="174"/>
      <c r="K48" s="174"/>
      <c r="L48" s="174"/>
      <c r="M48" s="165"/>
    </row>
    <row r="49" spans="2:13" x14ac:dyDescent="0.2">
      <c r="B49" s="174"/>
      <c r="C49" s="174"/>
      <c r="D49" s="174"/>
      <c r="E49" s="174"/>
      <c r="F49" s="174"/>
      <c r="G49" s="174"/>
      <c r="H49" s="174"/>
      <c r="I49" s="174"/>
      <c r="J49" s="174"/>
      <c r="K49" s="174"/>
      <c r="L49" s="174"/>
      <c r="M49" s="165"/>
    </row>
    <row r="50" spans="2:13" x14ac:dyDescent="0.2">
      <c r="B50" s="174"/>
      <c r="C50" s="174"/>
      <c r="D50" s="174"/>
      <c r="E50" s="174"/>
      <c r="F50" s="174"/>
      <c r="G50" s="174"/>
      <c r="H50" s="174"/>
      <c r="I50" s="174"/>
      <c r="J50" s="174"/>
      <c r="K50" s="174"/>
      <c r="L50" s="174"/>
      <c r="M50" s="165"/>
    </row>
    <row r="51" spans="2:13" x14ac:dyDescent="0.2">
      <c r="B51" s="174"/>
      <c r="C51" s="174"/>
      <c r="D51" s="174"/>
      <c r="E51" s="174"/>
      <c r="F51" s="174"/>
      <c r="G51" s="174"/>
      <c r="H51" s="174"/>
      <c r="I51" s="174"/>
      <c r="J51" s="174"/>
      <c r="K51" s="174"/>
      <c r="L51" s="174"/>
      <c r="M51" s="165"/>
    </row>
    <row r="52" spans="2:13" x14ac:dyDescent="0.2">
      <c r="B52" s="174"/>
      <c r="C52" s="174"/>
      <c r="D52" s="174"/>
      <c r="E52" s="174"/>
      <c r="F52" s="174"/>
      <c r="G52" s="174"/>
      <c r="H52" s="174"/>
      <c r="I52" s="174"/>
      <c r="J52" s="174"/>
      <c r="K52" s="174"/>
      <c r="L52" s="174"/>
      <c r="M52" s="165"/>
    </row>
    <row r="53" spans="2:13" x14ac:dyDescent="0.2">
      <c r="B53" s="174"/>
      <c r="C53" s="174"/>
      <c r="D53" s="174"/>
      <c r="E53" s="174"/>
      <c r="F53" s="174"/>
      <c r="G53" s="174"/>
      <c r="H53" s="174"/>
      <c r="I53" s="174"/>
      <c r="J53" s="174"/>
      <c r="K53" s="174"/>
      <c r="L53" s="174"/>
    </row>
    <row r="54" spans="2:13" x14ac:dyDescent="0.2">
      <c r="B54" s="174"/>
      <c r="C54" s="174"/>
      <c r="D54" s="174"/>
      <c r="E54" s="174"/>
      <c r="F54" s="174"/>
      <c r="G54" s="174"/>
      <c r="H54" s="174"/>
      <c r="I54" s="174"/>
      <c r="J54" s="174"/>
      <c r="K54" s="174"/>
      <c r="L54" s="174"/>
    </row>
    <row r="55" spans="2:13" x14ac:dyDescent="0.2">
      <c r="B55" s="174"/>
      <c r="C55" s="174"/>
      <c r="D55" s="174"/>
      <c r="E55" s="174"/>
      <c r="F55" s="174"/>
      <c r="G55" s="174"/>
      <c r="H55" s="174"/>
      <c r="I55" s="174"/>
      <c r="J55" s="174"/>
      <c r="K55" s="174"/>
      <c r="L55" s="174"/>
    </row>
    <row r="56" spans="2:13" x14ac:dyDescent="0.2">
      <c r="B56" s="178"/>
      <c r="C56" s="174"/>
      <c r="D56" s="174"/>
      <c r="E56" s="174"/>
      <c r="F56" s="174"/>
      <c r="G56" s="174"/>
      <c r="H56" s="174"/>
      <c r="I56" s="174"/>
      <c r="J56" s="174"/>
      <c r="K56" s="174"/>
      <c r="L56" s="174"/>
    </row>
    <row r="57" spans="2:13" s="29" customFormat="1" ht="9" customHeight="1" x14ac:dyDescent="0.2">
      <c r="B57" s="174"/>
      <c r="C57" s="174"/>
      <c r="D57" s="174"/>
      <c r="E57" s="174"/>
      <c r="F57" s="174"/>
      <c r="G57" s="174"/>
      <c r="H57" s="174"/>
      <c r="I57" s="174"/>
      <c r="J57" s="174"/>
      <c r="K57" s="174"/>
      <c r="L57" s="174"/>
    </row>
    <row r="58" spans="2:13" s="29" customFormat="1" ht="9" customHeight="1" x14ac:dyDescent="0.2">
      <c r="B58" s="174"/>
      <c r="C58" s="174"/>
      <c r="D58" s="174"/>
      <c r="E58" s="174"/>
      <c r="F58" s="174"/>
      <c r="G58" s="174"/>
      <c r="H58" s="174"/>
      <c r="I58" s="174"/>
      <c r="J58" s="174"/>
      <c r="K58" s="174"/>
      <c r="L58" s="174"/>
    </row>
    <row r="59" spans="2:13" x14ac:dyDescent="0.2">
      <c r="B59" s="174"/>
      <c r="C59" s="717">
        <v>5</v>
      </c>
      <c r="D59" s="717"/>
      <c r="E59" s="717"/>
      <c r="F59" s="717"/>
      <c r="G59" s="717"/>
      <c r="H59" s="717"/>
      <c r="I59" s="717"/>
      <c r="J59" s="717"/>
      <c r="K59" s="717"/>
      <c r="L59" s="717"/>
      <c r="M59" s="718"/>
    </row>
    <row r="60" spans="2:13" x14ac:dyDescent="0.2">
      <c r="B60" s="174"/>
      <c r="C60" s="174"/>
      <c r="D60" s="174"/>
      <c r="E60" s="174"/>
      <c r="F60" s="174"/>
      <c r="G60" s="174"/>
      <c r="H60" s="174"/>
      <c r="I60" s="174"/>
      <c r="J60" s="174"/>
      <c r="K60" s="174"/>
      <c r="L60" s="174"/>
    </row>
  </sheetData>
  <mergeCells count="2">
    <mergeCell ref="C59:M59"/>
    <mergeCell ref="F9:H9"/>
  </mergeCells>
  <phoneticPr fontId="0" type="noConversion"/>
  <printOptions horizontalCentered="1"/>
  <pageMargins left="0.25" right="0.25" top="1" bottom="0.74" header="0.5" footer="0.94"/>
  <pageSetup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2:BI92"/>
  <sheetViews>
    <sheetView view="pageBreakPreview" zoomScaleNormal="100" zoomScaleSheetLayoutView="100" workbookViewId="0">
      <pane ySplit="1" topLeftCell="A2" activePane="bottomLeft" state="frozen"/>
      <selection activeCell="B12" sqref="B12:J60"/>
      <selection pane="bottomLeft" activeCell="C6" sqref="C6"/>
    </sheetView>
  </sheetViews>
  <sheetFormatPr defaultRowHeight="12.75" x14ac:dyDescent="0.2"/>
  <cols>
    <col min="2" max="2" width="6.42578125" customWidth="1"/>
    <col min="3" max="3" width="6.5703125" customWidth="1"/>
    <col min="4" max="4" width="10" customWidth="1"/>
    <col min="5" max="5" width="8.5703125" customWidth="1"/>
    <col min="6" max="6" width="7.5703125" customWidth="1"/>
    <col min="7" max="7" width="12.42578125" customWidth="1"/>
    <col min="8" max="8" width="9.28515625" bestFit="1" customWidth="1"/>
    <col min="9" max="10" width="9.28515625" customWidth="1"/>
    <col min="11" max="12" width="8" customWidth="1"/>
    <col min="13" max="13" width="13.42578125" customWidth="1"/>
    <col min="15" max="15" width="9.28515625" bestFit="1" customWidth="1"/>
  </cols>
  <sheetData>
    <row r="2" spans="2:13" x14ac:dyDescent="0.2">
      <c r="D2" s="112"/>
      <c r="E2" s="112"/>
      <c r="F2" s="112"/>
      <c r="G2" s="112"/>
      <c r="H2" s="112"/>
      <c r="I2" s="112"/>
      <c r="J2" s="112"/>
      <c r="K2" s="112"/>
      <c r="L2" s="112"/>
    </row>
    <row r="3" spans="2:13" x14ac:dyDescent="0.2">
      <c r="D3" s="112"/>
      <c r="E3" s="112"/>
      <c r="F3" s="112"/>
      <c r="G3" s="112"/>
      <c r="H3" s="112"/>
      <c r="I3" s="112"/>
      <c r="J3" s="112"/>
      <c r="K3" s="112"/>
      <c r="L3" s="112"/>
    </row>
    <row r="4" spans="2:13" ht="15" x14ac:dyDescent="0.25">
      <c r="D4" s="112"/>
      <c r="E4" s="112"/>
      <c r="F4" s="112"/>
      <c r="G4" s="112"/>
      <c r="H4" s="112"/>
      <c r="I4" s="112"/>
      <c r="J4" s="112"/>
      <c r="M4" s="73" t="s">
        <v>366</v>
      </c>
    </row>
    <row r="5" spans="2:13" ht="9.75" customHeight="1" x14ac:dyDescent="0.2">
      <c r="D5" s="112"/>
      <c r="E5" s="112"/>
      <c r="F5" s="112"/>
      <c r="G5" s="112"/>
      <c r="H5" s="112"/>
      <c r="I5" s="112"/>
      <c r="J5" s="112"/>
      <c r="K5" s="112"/>
      <c r="L5" s="112"/>
    </row>
    <row r="6" spans="2:13" x14ac:dyDescent="0.2">
      <c r="C6" s="44"/>
      <c r="D6" s="112"/>
      <c r="E6" s="112"/>
      <c r="F6" s="112"/>
      <c r="G6" s="112"/>
      <c r="H6" s="112"/>
      <c r="I6" s="112"/>
      <c r="J6" s="112"/>
      <c r="K6" s="112"/>
      <c r="L6" s="112"/>
    </row>
    <row r="7" spans="2:13" x14ac:dyDescent="0.2">
      <c r="B7" s="4"/>
      <c r="C7" s="4"/>
      <c r="D7" s="112"/>
      <c r="E7" s="112"/>
      <c r="F7" s="112"/>
      <c r="G7" s="112"/>
      <c r="H7" s="112"/>
      <c r="I7" s="112"/>
      <c r="J7" s="112"/>
      <c r="K7" s="112"/>
      <c r="L7" s="112"/>
    </row>
    <row r="8" spans="2:13" x14ac:dyDescent="0.2">
      <c r="B8" s="720" t="s">
        <v>229</v>
      </c>
      <c r="C8" s="720"/>
      <c r="D8" s="720"/>
      <c r="E8" s="720"/>
      <c r="F8" s="720"/>
      <c r="G8" s="720"/>
      <c r="H8" s="720"/>
      <c r="I8" s="720"/>
      <c r="J8" s="720"/>
      <c r="K8" s="720"/>
      <c r="L8" s="720"/>
      <c r="M8" s="721"/>
    </row>
    <row r="9" spans="2:13" x14ac:dyDescent="0.2">
      <c r="B9" s="361"/>
      <c r="C9" s="362"/>
      <c r="D9" s="363"/>
      <c r="E9" s="364"/>
      <c r="F9" s="364"/>
      <c r="G9" s="364"/>
      <c r="H9" s="364"/>
      <c r="I9" s="364"/>
      <c r="J9" s="364"/>
      <c r="K9" s="364"/>
      <c r="L9" s="364"/>
      <c r="M9" s="115"/>
    </row>
    <row r="10" spans="2:13" ht="38.25" customHeight="1" x14ac:dyDescent="0.2">
      <c r="B10" s="727" t="s">
        <v>166</v>
      </c>
      <c r="C10" s="728"/>
      <c r="D10" s="728"/>
      <c r="E10" s="728"/>
      <c r="F10" s="728"/>
      <c r="G10" s="728"/>
      <c r="H10" s="728"/>
      <c r="I10" s="728"/>
      <c r="J10" s="728"/>
      <c r="K10" s="728"/>
      <c r="L10" s="728"/>
      <c r="M10" s="729"/>
    </row>
    <row r="11" spans="2:13" x14ac:dyDescent="0.2">
      <c r="B11" s="361"/>
      <c r="C11" s="362"/>
      <c r="D11" s="363"/>
      <c r="E11" s="364"/>
      <c r="F11" s="364"/>
      <c r="G11" s="364"/>
      <c r="H11" s="364"/>
      <c r="I11" s="364"/>
      <c r="J11" s="364"/>
      <c r="K11" s="364"/>
      <c r="L11" s="364"/>
      <c r="M11" s="115"/>
    </row>
    <row r="12" spans="2:13" ht="51" customHeight="1" x14ac:dyDescent="0.2">
      <c r="B12" s="727" t="s">
        <v>167</v>
      </c>
      <c r="C12" s="728"/>
      <c r="D12" s="728"/>
      <c r="E12" s="728"/>
      <c r="F12" s="728"/>
      <c r="G12" s="728"/>
      <c r="H12" s="728"/>
      <c r="I12" s="728"/>
      <c r="J12" s="728"/>
      <c r="K12" s="728"/>
      <c r="L12" s="728"/>
      <c r="M12" s="729"/>
    </row>
    <row r="13" spans="2:13" x14ac:dyDescent="0.2">
      <c r="B13" s="361"/>
      <c r="C13" s="361"/>
      <c r="D13" s="365"/>
      <c r="E13" s="365"/>
      <c r="F13" s="365"/>
      <c r="G13" s="365"/>
      <c r="H13" s="365"/>
      <c r="I13" s="365"/>
      <c r="J13" s="365"/>
      <c r="K13" s="365"/>
      <c r="L13" s="365"/>
      <c r="M13" s="115"/>
    </row>
    <row r="14" spans="2:13" ht="38.25" customHeight="1" x14ac:dyDescent="0.2">
      <c r="B14" s="727" t="s">
        <v>168</v>
      </c>
      <c r="C14" s="728"/>
      <c r="D14" s="728"/>
      <c r="E14" s="728"/>
      <c r="F14" s="728"/>
      <c r="G14" s="728"/>
      <c r="H14" s="728"/>
      <c r="I14" s="728"/>
      <c r="J14" s="728"/>
      <c r="K14" s="728"/>
      <c r="L14" s="728"/>
      <c r="M14" s="729"/>
    </row>
    <row r="15" spans="2:13" x14ac:dyDescent="0.2">
      <c r="B15" s="366"/>
      <c r="C15" s="177"/>
      <c r="D15" s="363"/>
      <c r="E15" s="364"/>
      <c r="F15" s="364"/>
      <c r="G15" s="364"/>
      <c r="H15" s="364"/>
      <c r="I15" s="364"/>
      <c r="J15" s="364"/>
      <c r="K15" s="364"/>
      <c r="L15" s="364"/>
      <c r="M15" s="115"/>
    </row>
    <row r="16" spans="2:13" x14ac:dyDescent="0.2">
      <c r="B16" s="367"/>
      <c r="C16" s="367"/>
      <c r="D16" s="368"/>
      <c r="E16" s="369"/>
      <c r="F16" s="369"/>
      <c r="G16" s="369"/>
      <c r="H16" s="369"/>
      <c r="I16" s="369"/>
      <c r="J16" s="369"/>
      <c r="K16" s="369"/>
      <c r="L16" s="369"/>
      <c r="M16" s="116"/>
    </row>
    <row r="17" spans="2:15" x14ac:dyDescent="0.2">
      <c r="B17" s="370" t="s">
        <v>151</v>
      </c>
      <c r="C17" s="371"/>
      <c r="D17" s="372"/>
      <c r="E17" s="372"/>
      <c r="F17" s="724" t="s">
        <v>152</v>
      </c>
      <c r="G17" s="725"/>
      <c r="H17" s="726"/>
      <c r="I17" s="399"/>
      <c r="J17" s="399"/>
      <c r="K17" s="373"/>
      <c r="L17" s="398"/>
      <c r="M17" s="122" t="s">
        <v>153</v>
      </c>
    </row>
    <row r="18" spans="2:15" ht="13.5" customHeight="1" x14ac:dyDescent="0.2">
      <c r="B18" s="374" t="s">
        <v>154</v>
      </c>
      <c r="C18" s="374"/>
      <c r="D18" s="375"/>
      <c r="E18" s="376"/>
      <c r="F18" s="377"/>
      <c r="G18" s="174"/>
      <c r="H18" s="376">
        <v>0</v>
      </c>
      <c r="I18" s="376"/>
      <c r="J18" s="376"/>
      <c r="K18" s="330"/>
      <c r="L18" s="178"/>
      <c r="M18" s="117">
        <v>0</v>
      </c>
    </row>
    <row r="19" spans="2:15" ht="13.5" customHeight="1" x14ac:dyDescent="0.2">
      <c r="B19" s="374" t="s">
        <v>161</v>
      </c>
      <c r="C19" s="378"/>
      <c r="D19" s="375"/>
      <c r="E19" s="376"/>
      <c r="F19" s="377"/>
      <c r="G19" s="174"/>
      <c r="H19" s="376">
        <v>0</v>
      </c>
      <c r="I19" s="376"/>
      <c r="J19" s="376"/>
      <c r="K19" s="330"/>
      <c r="L19" s="178"/>
      <c r="M19" s="117">
        <v>1</v>
      </c>
    </row>
    <row r="20" spans="2:15" ht="13.5" customHeight="1" x14ac:dyDescent="0.2">
      <c r="B20" s="374" t="s">
        <v>117</v>
      </c>
      <c r="C20" s="378"/>
      <c r="D20" s="375"/>
      <c r="E20" s="376"/>
      <c r="F20" s="377"/>
      <c r="G20" s="174"/>
      <c r="H20" s="376">
        <v>1</v>
      </c>
      <c r="I20" s="376"/>
      <c r="J20" s="376"/>
      <c r="K20" s="330"/>
      <c r="L20" s="178"/>
      <c r="M20" s="117">
        <v>1</v>
      </c>
    </row>
    <row r="21" spans="2:15" ht="13.5" customHeight="1" x14ac:dyDescent="0.2">
      <c r="B21" s="374" t="s">
        <v>162</v>
      </c>
      <c r="C21" s="176"/>
      <c r="D21" s="379"/>
      <c r="E21" s="380"/>
      <c r="F21" s="381"/>
      <c r="G21" s="174"/>
      <c r="H21" s="380">
        <v>1</v>
      </c>
      <c r="I21" s="380"/>
      <c r="J21" s="380"/>
      <c r="K21" s="330"/>
      <c r="L21" s="178"/>
      <c r="M21" s="118">
        <v>2</v>
      </c>
    </row>
    <row r="22" spans="2:15" ht="13.5" customHeight="1" x14ac:dyDescent="0.2">
      <c r="B22" s="180"/>
      <c r="C22" s="176"/>
      <c r="D22" s="379"/>
      <c r="E22" s="380"/>
      <c r="F22" s="381"/>
      <c r="G22" s="174"/>
      <c r="H22" s="380"/>
      <c r="I22" s="380"/>
      <c r="J22" s="380"/>
      <c r="K22" s="330"/>
      <c r="L22" s="178"/>
      <c r="M22" s="118"/>
    </row>
    <row r="23" spans="2:15" ht="13.5" customHeight="1" x14ac:dyDescent="0.2">
      <c r="B23" s="180" t="s">
        <v>118</v>
      </c>
      <c r="C23" s="180"/>
      <c r="D23" s="379"/>
      <c r="E23" s="380"/>
      <c r="F23" s="381"/>
      <c r="G23" s="174"/>
      <c r="H23" s="380">
        <v>2</v>
      </c>
      <c r="I23" s="380"/>
      <c r="J23" s="380"/>
      <c r="K23" s="330"/>
      <c r="L23" s="178"/>
      <c r="M23" s="118">
        <v>2</v>
      </c>
    </row>
    <row r="24" spans="2:15" ht="13.5" customHeight="1" x14ac:dyDescent="0.2">
      <c r="B24" s="180" t="s">
        <v>163</v>
      </c>
      <c r="C24" s="180"/>
      <c r="D24" s="382"/>
      <c r="E24" s="382"/>
      <c r="F24" s="381"/>
      <c r="G24" s="174"/>
      <c r="H24" s="380">
        <v>2</v>
      </c>
      <c r="I24" s="380"/>
      <c r="J24" s="380"/>
      <c r="K24" s="330"/>
      <c r="L24" s="178"/>
      <c r="M24" s="119">
        <v>3</v>
      </c>
    </row>
    <row r="25" spans="2:15" ht="13.5" customHeight="1" x14ac:dyDescent="0.2">
      <c r="B25" s="180" t="s">
        <v>119</v>
      </c>
      <c r="C25" s="180"/>
      <c r="D25" s="379"/>
      <c r="E25" s="380"/>
      <c r="F25" s="381"/>
      <c r="G25" s="174"/>
      <c r="H25" s="380">
        <v>3</v>
      </c>
      <c r="I25" s="380"/>
      <c r="J25" s="380"/>
      <c r="K25" s="330"/>
      <c r="L25" s="178"/>
      <c r="M25" s="118">
        <v>3</v>
      </c>
    </row>
    <row r="26" spans="2:15" ht="13.5" customHeight="1" x14ac:dyDescent="0.2">
      <c r="B26" s="180" t="s">
        <v>155</v>
      </c>
      <c r="C26" s="179"/>
      <c r="D26" s="379"/>
      <c r="E26" s="380"/>
      <c r="F26" s="381"/>
      <c r="G26" s="174"/>
      <c r="H26" s="380">
        <v>4</v>
      </c>
      <c r="I26" s="380"/>
      <c r="J26" s="380"/>
      <c r="K26" s="330"/>
      <c r="L26" s="178"/>
      <c r="M26" s="118">
        <v>4</v>
      </c>
    </row>
    <row r="27" spans="2:15" ht="13.5" customHeight="1" x14ac:dyDescent="0.2">
      <c r="B27" s="180"/>
      <c r="C27" s="179"/>
      <c r="D27" s="379"/>
      <c r="E27" s="380"/>
      <c r="F27" s="381"/>
      <c r="G27" s="174"/>
      <c r="H27" s="380"/>
      <c r="I27" s="380"/>
      <c r="J27" s="380"/>
      <c r="K27" s="330"/>
      <c r="L27" s="178"/>
      <c r="M27" s="118"/>
    </row>
    <row r="28" spans="2:15" ht="13.5" customHeight="1" x14ac:dyDescent="0.2">
      <c r="B28" s="180" t="s">
        <v>104</v>
      </c>
      <c r="C28" s="179"/>
      <c r="D28" s="379"/>
      <c r="E28" s="380"/>
      <c r="F28" s="381"/>
      <c r="G28" s="174"/>
      <c r="H28" s="380">
        <v>4</v>
      </c>
      <c r="I28" s="380"/>
      <c r="J28" s="380"/>
      <c r="K28" s="330"/>
      <c r="L28" s="178"/>
      <c r="M28" s="118">
        <v>4</v>
      </c>
    </row>
    <row r="29" spans="2:15" ht="13.5" customHeight="1" x14ac:dyDescent="0.2">
      <c r="B29" s="180" t="s">
        <v>156</v>
      </c>
      <c r="C29" s="383"/>
      <c r="D29" s="379"/>
      <c r="E29" s="380"/>
      <c r="F29" s="381"/>
      <c r="G29" s="174"/>
      <c r="H29" s="384" t="s">
        <v>159</v>
      </c>
      <c r="I29" s="384"/>
      <c r="J29" s="384"/>
      <c r="K29" s="330"/>
      <c r="L29" s="178"/>
      <c r="M29" s="113" t="s">
        <v>159</v>
      </c>
    </row>
    <row r="30" spans="2:15" ht="13.5" customHeight="1" x14ac:dyDescent="0.2">
      <c r="B30" s="180" t="s">
        <v>157</v>
      </c>
      <c r="C30" s="179"/>
      <c r="D30" s="379"/>
      <c r="E30" s="380"/>
      <c r="F30" s="381"/>
      <c r="G30" s="174"/>
      <c r="H30" s="384" t="s">
        <v>160</v>
      </c>
      <c r="I30" s="384"/>
      <c r="J30" s="384"/>
      <c r="K30" s="330"/>
      <c r="L30" s="178"/>
      <c r="M30" s="113" t="s">
        <v>160</v>
      </c>
    </row>
    <row r="31" spans="2:15" ht="13.5" customHeight="1" x14ac:dyDescent="0.2">
      <c r="B31" s="180" t="s">
        <v>158</v>
      </c>
      <c r="C31" s="179"/>
      <c r="D31" s="382"/>
      <c r="E31" s="382"/>
      <c r="F31" s="381"/>
      <c r="G31" s="174"/>
      <c r="H31" s="380">
        <v>6</v>
      </c>
      <c r="I31" s="380"/>
      <c r="J31" s="380"/>
      <c r="K31" s="330"/>
      <c r="L31" s="178"/>
      <c r="M31" s="120">
        <v>6</v>
      </c>
      <c r="O31" s="69"/>
    </row>
    <row r="32" spans="2:15" ht="13.5" customHeight="1" x14ac:dyDescent="0.2">
      <c r="B32" s="180"/>
      <c r="C32" s="179"/>
      <c r="D32" s="382"/>
      <c r="E32" s="382"/>
      <c r="F32" s="381"/>
      <c r="G32" s="174"/>
      <c r="H32" s="380"/>
      <c r="I32" s="380"/>
      <c r="J32" s="380"/>
      <c r="K32" s="330"/>
      <c r="L32" s="178"/>
      <c r="M32" s="120"/>
      <c r="O32" s="69"/>
    </row>
    <row r="33" spans="2:15" ht="13.5" customHeight="1" x14ac:dyDescent="0.2">
      <c r="B33" s="303" t="s">
        <v>145</v>
      </c>
      <c r="C33" s="303"/>
      <c r="D33" s="385"/>
      <c r="E33" s="386"/>
      <c r="F33" s="387"/>
      <c r="G33" s="175"/>
      <c r="H33" s="386">
        <v>9</v>
      </c>
      <c r="I33" s="386"/>
      <c r="J33" s="386"/>
      <c r="K33" s="388"/>
      <c r="L33" s="175"/>
      <c r="M33" s="121">
        <v>9</v>
      </c>
      <c r="O33" s="69"/>
    </row>
    <row r="34" spans="2:15" ht="12.75" customHeight="1" x14ac:dyDescent="0.2">
      <c r="B34" s="177" t="s">
        <v>197</v>
      </c>
      <c r="C34" s="179"/>
      <c r="D34" s="379"/>
      <c r="E34" s="380"/>
      <c r="F34" s="380"/>
      <c r="G34" s="380"/>
      <c r="H34" s="380"/>
      <c r="I34" s="380"/>
      <c r="J34" s="380"/>
      <c r="K34" s="379"/>
      <c r="L34" s="379"/>
      <c r="M34" s="15"/>
      <c r="O34" s="69"/>
    </row>
    <row r="35" spans="2:15" ht="64.5" customHeight="1" x14ac:dyDescent="0.2">
      <c r="B35" s="730" t="s">
        <v>196</v>
      </c>
      <c r="C35" s="728"/>
      <c r="D35" s="728"/>
      <c r="E35" s="728"/>
      <c r="F35" s="728"/>
      <c r="G35" s="728"/>
      <c r="H35" s="728"/>
      <c r="I35" s="728"/>
      <c r="J35" s="728"/>
      <c r="K35" s="728"/>
      <c r="L35" s="728"/>
      <c r="M35" s="729"/>
      <c r="O35" s="69"/>
    </row>
    <row r="36" spans="2:15" x14ac:dyDescent="0.2">
      <c r="B36" s="366"/>
      <c r="C36" s="362"/>
      <c r="D36" s="363"/>
      <c r="E36" s="364"/>
      <c r="F36" s="364"/>
      <c r="G36" s="364"/>
      <c r="H36" s="364"/>
      <c r="I36" s="364"/>
      <c r="J36" s="364"/>
      <c r="K36" s="363"/>
      <c r="L36" s="363"/>
      <c r="M36" s="115"/>
      <c r="O36" s="69"/>
    </row>
    <row r="37" spans="2:15" ht="12.75" customHeight="1" x14ac:dyDescent="0.2">
      <c r="B37" s="361"/>
      <c r="C37" s="362"/>
      <c r="D37" s="363"/>
      <c r="E37" s="364"/>
      <c r="F37" s="364"/>
      <c r="G37" s="364"/>
      <c r="H37" s="364"/>
      <c r="I37" s="364"/>
      <c r="J37" s="364"/>
      <c r="K37" s="363"/>
      <c r="L37" s="363"/>
      <c r="M37" s="115"/>
      <c r="O37" s="69"/>
    </row>
    <row r="38" spans="2:15" ht="38.25" customHeight="1" x14ac:dyDescent="0.2">
      <c r="B38" s="727" t="s">
        <v>169</v>
      </c>
      <c r="C38" s="728"/>
      <c r="D38" s="728"/>
      <c r="E38" s="728"/>
      <c r="F38" s="728"/>
      <c r="G38" s="728"/>
      <c r="H38" s="728"/>
      <c r="I38" s="728"/>
      <c r="J38" s="728"/>
      <c r="K38" s="728"/>
      <c r="L38" s="728"/>
      <c r="M38" s="729"/>
      <c r="O38" s="69"/>
    </row>
    <row r="39" spans="2:15" x14ac:dyDescent="0.2">
      <c r="B39" s="361"/>
      <c r="C39" s="362"/>
      <c r="D39" s="363"/>
      <c r="E39" s="364"/>
      <c r="F39" s="364"/>
      <c r="G39" s="364"/>
      <c r="H39" s="364"/>
      <c r="I39" s="364"/>
      <c r="J39" s="364"/>
      <c r="K39" s="363"/>
      <c r="L39" s="363"/>
      <c r="M39" s="115"/>
      <c r="O39" s="69"/>
    </row>
    <row r="40" spans="2:15" x14ac:dyDescent="0.2">
      <c r="B40" s="361"/>
      <c r="C40" s="389"/>
      <c r="D40" s="361"/>
      <c r="E40" s="361"/>
      <c r="F40" s="361"/>
      <c r="G40" s="361"/>
      <c r="H40" s="361"/>
      <c r="I40" s="361"/>
      <c r="J40" s="361"/>
      <c r="K40" s="361"/>
      <c r="L40" s="361"/>
      <c r="M40" s="115"/>
    </row>
    <row r="41" spans="2:15" x14ac:dyDescent="0.2">
      <c r="B41" s="722">
        <v>27</v>
      </c>
      <c r="C41" s="722"/>
      <c r="D41" s="722"/>
      <c r="E41" s="722"/>
      <c r="F41" s="722"/>
      <c r="G41" s="722"/>
      <c r="H41" s="722"/>
      <c r="I41" s="722"/>
      <c r="J41" s="722"/>
      <c r="K41" s="722"/>
      <c r="L41" s="722"/>
      <c r="M41" s="723"/>
    </row>
    <row r="42" spans="2:15" x14ac:dyDescent="0.2">
      <c r="B42" s="174"/>
      <c r="C42" s="174"/>
      <c r="D42" s="174"/>
      <c r="E42" s="174"/>
      <c r="F42" s="174"/>
      <c r="G42" s="174"/>
      <c r="H42" s="174"/>
      <c r="I42" s="174"/>
      <c r="J42" s="174"/>
      <c r="K42" s="174"/>
      <c r="L42" s="174"/>
    </row>
    <row r="43" spans="2:15" x14ac:dyDescent="0.2">
      <c r="B43" s="174"/>
      <c r="C43" s="174"/>
      <c r="D43" s="174"/>
      <c r="E43" s="174"/>
      <c r="F43" s="174"/>
      <c r="G43" s="174"/>
      <c r="H43" s="174"/>
      <c r="I43" s="174"/>
      <c r="J43" s="174"/>
      <c r="K43" s="174"/>
      <c r="L43" s="174"/>
    </row>
    <row r="44" spans="2:15" x14ac:dyDescent="0.2">
      <c r="B44" s="174"/>
      <c r="C44" s="174"/>
      <c r="D44" s="174"/>
      <c r="E44" s="174"/>
      <c r="F44" s="174"/>
      <c r="G44" s="174"/>
      <c r="H44" s="174"/>
      <c r="I44" s="174"/>
      <c r="J44" s="174"/>
      <c r="K44" s="174"/>
      <c r="L44" s="174"/>
    </row>
    <row r="45" spans="2:15" x14ac:dyDescent="0.2">
      <c r="B45" s="174"/>
      <c r="C45" s="174"/>
      <c r="D45" s="174"/>
      <c r="E45" s="174"/>
      <c r="F45" s="174"/>
      <c r="G45" s="174"/>
      <c r="H45" s="174"/>
      <c r="I45" s="174"/>
      <c r="J45" s="174"/>
      <c r="K45" s="174"/>
      <c r="L45" s="174"/>
    </row>
    <row r="46" spans="2:15" x14ac:dyDescent="0.2">
      <c r="B46" s="174"/>
      <c r="C46" s="174"/>
      <c r="D46" s="174"/>
      <c r="E46" s="174"/>
      <c r="F46" s="174"/>
      <c r="G46" s="174"/>
      <c r="H46" s="174"/>
      <c r="I46" s="174"/>
      <c r="J46" s="174"/>
      <c r="K46" s="174"/>
      <c r="L46" s="174"/>
    </row>
    <row r="47" spans="2:15" x14ac:dyDescent="0.2">
      <c r="B47" s="174"/>
      <c r="C47" s="174"/>
      <c r="D47" s="174"/>
      <c r="E47" s="174"/>
      <c r="F47" s="174"/>
      <c r="G47" s="174"/>
      <c r="H47" s="174"/>
      <c r="I47" s="174"/>
      <c r="J47" s="174"/>
      <c r="K47" s="174"/>
      <c r="L47" s="174"/>
    </row>
    <row r="48" spans="2:15" x14ac:dyDescent="0.2">
      <c r="B48" s="174"/>
      <c r="C48" s="174"/>
      <c r="D48" s="174"/>
      <c r="E48" s="174"/>
      <c r="F48" s="174"/>
      <c r="G48" s="174"/>
      <c r="H48" s="174"/>
      <c r="I48" s="174"/>
      <c r="J48" s="174"/>
      <c r="K48" s="174"/>
      <c r="L48" s="174"/>
    </row>
    <row r="49" spans="2:12" x14ac:dyDescent="0.2">
      <c r="B49" s="174"/>
      <c r="C49" s="174"/>
      <c r="D49" s="174"/>
      <c r="E49" s="174"/>
      <c r="F49" s="174"/>
      <c r="G49" s="174"/>
      <c r="H49" s="174"/>
      <c r="I49" s="174"/>
      <c r="J49" s="174"/>
      <c r="K49" s="174"/>
      <c r="L49" s="174"/>
    </row>
    <row r="50" spans="2:12" x14ac:dyDescent="0.2">
      <c r="B50" s="174"/>
      <c r="C50" s="174"/>
      <c r="D50" s="174"/>
      <c r="E50" s="174"/>
      <c r="F50" s="174"/>
      <c r="G50" s="174"/>
      <c r="H50" s="174"/>
      <c r="I50" s="174"/>
      <c r="J50" s="174"/>
      <c r="K50" s="174"/>
      <c r="L50" s="174"/>
    </row>
    <row r="51" spans="2:12" x14ac:dyDescent="0.2">
      <c r="B51" s="174"/>
      <c r="C51" s="174"/>
      <c r="D51" s="174"/>
      <c r="E51" s="174"/>
      <c r="F51" s="174"/>
      <c r="G51" s="174"/>
      <c r="H51" s="174"/>
      <c r="I51" s="174"/>
      <c r="J51" s="174"/>
      <c r="K51" s="174"/>
      <c r="L51" s="174"/>
    </row>
    <row r="52" spans="2:12" x14ac:dyDescent="0.2">
      <c r="B52" s="174"/>
      <c r="C52" s="174"/>
      <c r="D52" s="174"/>
      <c r="E52" s="174"/>
      <c r="F52" s="174"/>
      <c r="G52" s="174"/>
      <c r="H52" s="174"/>
      <c r="I52" s="174"/>
      <c r="J52" s="174"/>
      <c r="K52" s="174"/>
      <c r="L52" s="174"/>
    </row>
    <row r="53" spans="2:12" x14ac:dyDescent="0.2">
      <c r="B53" s="174"/>
      <c r="C53" s="174"/>
      <c r="D53" s="174"/>
      <c r="E53" s="174"/>
      <c r="F53" s="174"/>
      <c r="G53" s="174"/>
      <c r="H53" s="174"/>
      <c r="I53" s="174"/>
      <c r="J53" s="174"/>
      <c r="K53" s="174"/>
      <c r="L53" s="174"/>
    </row>
    <row r="54" spans="2:12" x14ac:dyDescent="0.2">
      <c r="B54" s="178"/>
      <c r="C54" s="174"/>
      <c r="D54" s="174"/>
      <c r="E54" s="174"/>
      <c r="F54" s="174"/>
      <c r="G54" s="174"/>
      <c r="H54" s="174"/>
      <c r="I54" s="174"/>
      <c r="J54" s="174"/>
      <c r="K54" s="174"/>
      <c r="L54" s="174"/>
    </row>
    <row r="55" spans="2:12" x14ac:dyDescent="0.2">
      <c r="B55" s="174"/>
      <c r="C55" s="174"/>
      <c r="D55" s="174"/>
      <c r="E55" s="174"/>
      <c r="F55" s="174"/>
      <c r="G55" s="174"/>
      <c r="H55" s="174"/>
      <c r="I55" s="174"/>
      <c r="J55" s="174"/>
      <c r="K55" s="174"/>
      <c r="L55" s="174"/>
    </row>
    <row r="56" spans="2:12" x14ac:dyDescent="0.2">
      <c r="B56" s="174"/>
      <c r="C56" s="174"/>
      <c r="D56" s="174"/>
      <c r="E56" s="174"/>
      <c r="F56" s="174"/>
      <c r="G56" s="174"/>
      <c r="H56" s="174"/>
      <c r="I56" s="174"/>
      <c r="J56" s="174"/>
      <c r="K56" s="174"/>
      <c r="L56" s="174"/>
    </row>
    <row r="57" spans="2:12" x14ac:dyDescent="0.2">
      <c r="B57" s="174"/>
      <c r="C57" s="174"/>
      <c r="D57" s="174"/>
      <c r="E57" s="174"/>
      <c r="F57" s="174"/>
      <c r="G57" s="174"/>
      <c r="H57" s="174"/>
      <c r="I57" s="174"/>
      <c r="J57" s="174"/>
      <c r="K57" s="174"/>
      <c r="L57" s="174"/>
    </row>
    <row r="58" spans="2:12" x14ac:dyDescent="0.2">
      <c r="B58" s="174"/>
      <c r="C58" s="174"/>
      <c r="D58" s="174"/>
      <c r="E58" s="174"/>
      <c r="F58" s="174"/>
      <c r="G58" s="174"/>
      <c r="H58" s="174"/>
      <c r="I58" s="174"/>
      <c r="J58" s="174"/>
      <c r="K58" s="174"/>
      <c r="L58" s="174"/>
    </row>
    <row r="90" spans="4:61" x14ac:dyDescent="0.2">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row>
    <row r="91" spans="4:61" x14ac:dyDescent="0.2">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row>
    <row r="92" spans="4:61" x14ac:dyDescent="0.2">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row>
  </sheetData>
  <mergeCells count="8">
    <mergeCell ref="B8:M8"/>
    <mergeCell ref="B41:M41"/>
    <mergeCell ref="F17:H17"/>
    <mergeCell ref="B10:M10"/>
    <mergeCell ref="B12:M12"/>
    <mergeCell ref="B14:M14"/>
    <mergeCell ref="B35:M35"/>
    <mergeCell ref="B38:M38"/>
  </mergeCells>
  <phoneticPr fontId="0" type="noConversion"/>
  <printOptions horizontalCentered="1"/>
  <pageMargins left="1" right="1" top="0.66" bottom="0.57999999999999996" header="0.53" footer="0.43"/>
  <pageSetup scale="83" orientation="portrait" horizontalDpi="300" verticalDpi="300" r:id="rId1"/>
  <headerFooter alignWithMargins="0"/>
  <drawing r:id="rId2"/>
  <legacyDrawing r:id="rId3"/>
  <oleObjects>
    <mc:AlternateContent xmlns:mc="http://schemas.openxmlformats.org/markup-compatibility/2006">
      <mc:Choice Requires="x14">
        <oleObject progId="MSPhotoEd.3" shapeId="18433" r:id="rId4">
          <objectPr defaultSize="0" autoPict="0" r:id="rId5">
            <anchor moveWithCells="1" sizeWithCells="1">
              <from>
                <xdr:col>0</xdr:col>
                <xdr:colOff>304800</xdr:colOff>
                <xdr:row>0</xdr:row>
                <xdr:rowOff>66675</xdr:rowOff>
              </from>
              <to>
                <xdr:col>1</xdr:col>
                <xdr:colOff>200025</xdr:colOff>
                <xdr:row>3</xdr:row>
                <xdr:rowOff>180975</xdr:rowOff>
              </to>
            </anchor>
          </objectPr>
        </oleObject>
      </mc:Choice>
      <mc:Fallback>
        <oleObject progId="MSPhotoEd.3" shapeId="18433"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tint="0.39997558519241921"/>
    <pageSetUpPr fitToPage="1"/>
  </sheetPr>
  <dimension ref="B4:P69"/>
  <sheetViews>
    <sheetView tabSelected="1" zoomScale="102" zoomScaleNormal="102" zoomScaleSheetLayoutView="69" workbookViewId="0">
      <selection activeCell="Q4" sqref="Q4"/>
    </sheetView>
  </sheetViews>
  <sheetFormatPr defaultColWidth="9.140625" defaultRowHeight="12.75" outlineLevelRow="1" x14ac:dyDescent="0.2"/>
  <cols>
    <col min="1" max="1" width="9.140625" style="299"/>
    <col min="2" max="2" width="6.5703125" style="299" customWidth="1"/>
    <col min="3" max="3" width="32.140625" style="299" customWidth="1"/>
    <col min="4" max="4" width="0.28515625" style="299" customWidth="1"/>
    <col min="5" max="5" width="11.42578125" style="299" customWidth="1"/>
    <col min="6" max="7" width="10.42578125" style="299" customWidth="1"/>
    <col min="8" max="8" width="10.42578125" style="402" customWidth="1"/>
    <col min="9" max="11" width="10.42578125" style="299" customWidth="1"/>
    <col min="12" max="12" width="11.5703125" style="299" customWidth="1"/>
    <col min="13" max="14" width="9.140625" style="299"/>
    <col min="15" max="15" width="9.140625" style="170"/>
    <col min="16" max="16384" width="9.140625" style="299"/>
  </cols>
  <sheetData>
    <row r="4" spans="2:15" ht="15" x14ac:dyDescent="0.25">
      <c r="D4" s="731"/>
      <c r="E4" s="731"/>
      <c r="F4" s="731"/>
      <c r="G4" s="731"/>
      <c r="H4" s="731"/>
      <c r="I4" s="731"/>
    </row>
    <row r="5" spans="2:15" ht="15" x14ac:dyDescent="0.25">
      <c r="M5" s="403" t="s">
        <v>374</v>
      </c>
    </row>
    <row r="6" spans="2:15" ht="15.75" x14ac:dyDescent="0.25">
      <c r="C6" s="732"/>
      <c r="D6" s="732"/>
      <c r="E6" s="732"/>
      <c r="F6" s="732"/>
      <c r="G6" s="732"/>
      <c r="H6" s="732"/>
      <c r="I6" s="732"/>
    </row>
    <row r="7" spans="2:15" ht="15.75" x14ac:dyDescent="0.25">
      <c r="C7" s="404"/>
      <c r="D7" s="404"/>
      <c r="E7" s="404"/>
      <c r="F7" s="404"/>
      <c r="G7" s="404"/>
      <c r="H7" s="405"/>
      <c r="I7" s="404"/>
    </row>
    <row r="8" spans="2:15" ht="15.75" x14ac:dyDescent="0.25">
      <c r="B8" s="406" t="s">
        <v>255</v>
      </c>
      <c r="C8" s="736" t="s">
        <v>363</v>
      </c>
      <c r="D8" s="736"/>
      <c r="E8" s="736"/>
      <c r="F8" s="736"/>
      <c r="G8" s="736"/>
      <c r="H8" s="736"/>
      <c r="I8" s="736"/>
      <c r="J8" s="736"/>
      <c r="K8" s="736"/>
      <c r="L8" s="736"/>
    </row>
    <row r="10" spans="2:15" x14ac:dyDescent="0.2">
      <c r="C10" s="407"/>
      <c r="D10" s="408"/>
      <c r="E10" s="409"/>
      <c r="F10" s="409"/>
      <c r="G10" s="409"/>
      <c r="O10" s="410"/>
    </row>
    <row r="11" spans="2:15" x14ac:dyDescent="0.2">
      <c r="C11" s="735" t="s">
        <v>17</v>
      </c>
      <c r="D11" s="735"/>
      <c r="E11" s="735"/>
      <c r="F11" s="56">
        <v>2011</v>
      </c>
      <c r="G11" s="56">
        <v>2012</v>
      </c>
      <c r="H11" s="56">
        <v>2013</v>
      </c>
      <c r="I11" s="51">
        <v>2014</v>
      </c>
      <c r="J11" s="51">
        <v>2015</v>
      </c>
      <c r="K11" s="51">
        <v>2016</v>
      </c>
      <c r="L11" s="51">
        <v>2017</v>
      </c>
      <c r="M11" s="51">
        <v>2018</v>
      </c>
      <c r="N11" s="51">
        <v>2019</v>
      </c>
    </row>
    <row r="12" spans="2:15" ht="8.25" customHeight="1" x14ac:dyDescent="0.2">
      <c r="C12" s="411"/>
      <c r="D12" s="411"/>
      <c r="E12" s="411"/>
      <c r="F12" s="411"/>
      <c r="G12" s="411"/>
      <c r="H12" s="412"/>
      <c r="I12" s="413"/>
    </row>
    <row r="13" spans="2:15" ht="42.75" customHeight="1" x14ac:dyDescent="0.2">
      <c r="C13" s="414" t="s">
        <v>206</v>
      </c>
      <c r="D13" s="415"/>
      <c r="E13" s="416"/>
      <c r="F13" s="99">
        <v>36</v>
      </c>
      <c r="G13" s="99">
        <f>SUM(G14:G16)</f>
        <v>38</v>
      </c>
      <c r="H13" s="99">
        <f>SUM(H14:H16)</f>
        <v>41</v>
      </c>
      <c r="I13" s="99">
        <f>SUM(I14:I16)</f>
        <v>43</v>
      </c>
      <c r="J13" s="99">
        <v>37</v>
      </c>
      <c r="K13" s="99">
        <f>SUM(K14:K16)</f>
        <v>38</v>
      </c>
      <c r="L13" s="99">
        <f>SUM(L14:L16)</f>
        <v>38</v>
      </c>
      <c r="M13" s="99">
        <f>SUM(M14:M16)</f>
        <v>37</v>
      </c>
      <c r="N13" s="99">
        <f>SUM(N14:N16)</f>
        <v>38</v>
      </c>
    </row>
    <row r="14" spans="2:15" s="300" customFormat="1" ht="14.25" x14ac:dyDescent="0.2">
      <c r="C14" s="417" t="s">
        <v>207</v>
      </c>
      <c r="D14" s="418" t="s">
        <v>110</v>
      </c>
      <c r="E14" s="419"/>
      <c r="F14" s="420">
        <v>22</v>
      </c>
      <c r="G14" s="420">
        <v>21</v>
      </c>
      <c r="H14" s="420">
        <v>23</v>
      </c>
      <c r="I14" s="421">
        <v>25</v>
      </c>
      <c r="J14" s="300">
        <v>23</v>
      </c>
      <c r="K14" s="300">
        <v>20</v>
      </c>
      <c r="L14" s="300">
        <v>22</v>
      </c>
      <c r="M14" s="300">
        <v>21</v>
      </c>
      <c r="N14" s="300">
        <v>21</v>
      </c>
      <c r="O14" s="422"/>
    </row>
    <row r="15" spans="2:15" s="300" customFormat="1" ht="14.25" x14ac:dyDescent="0.2">
      <c r="C15" s="417" t="s">
        <v>208</v>
      </c>
      <c r="D15" s="418" t="s">
        <v>110</v>
      </c>
      <c r="E15" s="419"/>
      <c r="F15" s="420">
        <v>11</v>
      </c>
      <c r="G15" s="420">
        <v>11</v>
      </c>
      <c r="H15" s="420">
        <v>11</v>
      </c>
      <c r="I15" s="421">
        <v>11</v>
      </c>
      <c r="J15" s="300">
        <v>11</v>
      </c>
      <c r="K15" s="300">
        <v>11</v>
      </c>
      <c r="L15" s="300">
        <v>9</v>
      </c>
      <c r="M15" s="300">
        <v>9</v>
      </c>
      <c r="N15" s="300">
        <v>9</v>
      </c>
      <c r="O15" s="422"/>
    </row>
    <row r="16" spans="2:15" s="300" customFormat="1" ht="14.25" x14ac:dyDescent="0.2">
      <c r="C16" s="417" t="s">
        <v>209</v>
      </c>
      <c r="D16" s="418" t="s">
        <v>110</v>
      </c>
      <c r="E16" s="419"/>
      <c r="F16" s="420">
        <v>3</v>
      </c>
      <c r="G16" s="420">
        <v>6</v>
      </c>
      <c r="H16" s="420">
        <v>7</v>
      </c>
      <c r="I16" s="421">
        <v>7</v>
      </c>
      <c r="J16" s="300">
        <v>7</v>
      </c>
      <c r="K16" s="300">
        <v>7</v>
      </c>
      <c r="L16" s="300">
        <v>7</v>
      </c>
      <c r="M16" s="300">
        <v>7</v>
      </c>
      <c r="N16" s="300">
        <v>8</v>
      </c>
      <c r="O16" s="422"/>
    </row>
    <row r="17" spans="3:15" x14ac:dyDescent="0.2">
      <c r="C17" s="408"/>
      <c r="D17" s="408"/>
      <c r="E17" s="408"/>
      <c r="F17" s="408"/>
      <c r="G17" s="412"/>
      <c r="H17" s="412"/>
      <c r="I17" s="413"/>
    </row>
    <row r="18" spans="3:15" x14ac:dyDescent="0.2">
      <c r="C18" s="408"/>
      <c r="D18" s="408"/>
      <c r="E18" s="408"/>
      <c r="F18" s="408"/>
      <c r="G18" s="408"/>
      <c r="H18" s="412"/>
      <c r="I18" s="413"/>
    </row>
    <row r="19" spans="3:15" x14ac:dyDescent="0.2">
      <c r="C19" s="423" t="s">
        <v>153</v>
      </c>
      <c r="D19" s="424">
        <f>SUM(D24:D25)</f>
        <v>0</v>
      </c>
      <c r="E19" s="424"/>
      <c r="F19" s="425">
        <v>1579</v>
      </c>
      <c r="G19" s="425">
        <f>SUM(G20:G22)</f>
        <v>1701</v>
      </c>
      <c r="H19" s="425">
        <f>SUM(H20:H22)</f>
        <v>1939</v>
      </c>
      <c r="I19" s="425">
        <f>SUM(I20:I22)</f>
        <v>1949</v>
      </c>
      <c r="J19" s="425">
        <f>SUM(J20:J22)</f>
        <v>1785</v>
      </c>
      <c r="K19" s="425">
        <f>SUM(K24:K25)</f>
        <v>1931</v>
      </c>
      <c r="L19" s="425">
        <f>SUM(L24:L25)</f>
        <v>2042</v>
      </c>
      <c r="M19" s="425">
        <f>SUM(M24:M25)</f>
        <v>1907</v>
      </c>
      <c r="N19" s="424">
        <f>SUM(N20:N22)</f>
        <v>1876</v>
      </c>
    </row>
    <row r="20" spans="3:15" s="300" customFormat="1" ht="14.25" x14ac:dyDescent="0.2">
      <c r="C20" s="417" t="s">
        <v>207</v>
      </c>
      <c r="D20" s="418" t="s">
        <v>110</v>
      </c>
      <c r="E20" s="419"/>
      <c r="F20" s="171">
        <v>1212</v>
      </c>
      <c r="G20" s="171">
        <v>1033</v>
      </c>
      <c r="H20" s="171">
        <v>1189</v>
      </c>
      <c r="I20" s="171">
        <v>1183</v>
      </c>
      <c r="J20" s="426">
        <v>1132</v>
      </c>
      <c r="K20" s="426">
        <v>1138</v>
      </c>
      <c r="L20" s="426">
        <v>1357</v>
      </c>
      <c r="M20" s="300">
        <v>1286</v>
      </c>
      <c r="N20" s="300">
        <v>1155</v>
      </c>
      <c r="O20" s="422"/>
    </row>
    <row r="21" spans="3:15" s="300" customFormat="1" ht="14.25" x14ac:dyDescent="0.2">
      <c r="C21" s="417" t="s">
        <v>208</v>
      </c>
      <c r="D21" s="418" t="s">
        <v>110</v>
      </c>
      <c r="E21" s="419"/>
      <c r="F21" s="171">
        <v>304</v>
      </c>
      <c r="G21" s="171">
        <v>467</v>
      </c>
      <c r="H21" s="171">
        <v>465</v>
      </c>
      <c r="I21" s="171">
        <v>480</v>
      </c>
      <c r="J21" s="426">
        <v>359</v>
      </c>
      <c r="K21" s="426">
        <v>509</v>
      </c>
      <c r="L21" s="426">
        <v>422</v>
      </c>
      <c r="M21" s="300">
        <v>393</v>
      </c>
      <c r="N21" s="300">
        <v>470</v>
      </c>
      <c r="O21" s="422"/>
    </row>
    <row r="22" spans="3:15" s="300" customFormat="1" ht="14.25" x14ac:dyDescent="0.2">
      <c r="C22" s="417" t="s">
        <v>209</v>
      </c>
      <c r="D22" s="418" t="s">
        <v>110</v>
      </c>
      <c r="E22" s="419"/>
      <c r="F22" s="171">
        <v>63</v>
      </c>
      <c r="G22" s="171">
        <v>201</v>
      </c>
      <c r="H22" s="171">
        <v>285</v>
      </c>
      <c r="I22" s="171">
        <v>286</v>
      </c>
      <c r="J22" s="426">
        <v>294</v>
      </c>
      <c r="K22" s="426">
        <v>284</v>
      </c>
      <c r="L22" s="426">
        <v>263</v>
      </c>
      <c r="M22" s="300">
        <v>228</v>
      </c>
      <c r="N22" s="300">
        <v>251</v>
      </c>
      <c r="O22" s="422"/>
    </row>
    <row r="23" spans="3:15" s="300" customFormat="1" ht="14.25" x14ac:dyDescent="0.2">
      <c r="C23" s="417"/>
      <c r="D23" s="418"/>
      <c r="E23" s="419"/>
      <c r="F23" s="171"/>
      <c r="G23" s="171"/>
      <c r="H23" s="171"/>
      <c r="I23" s="171"/>
      <c r="J23" s="426"/>
      <c r="K23" s="426"/>
      <c r="L23" s="426"/>
      <c r="O23" s="422"/>
    </row>
    <row r="24" spans="3:15" ht="14.25" x14ac:dyDescent="0.2">
      <c r="C24" s="427" t="s">
        <v>27</v>
      </c>
      <c r="D24" s="415" t="s">
        <v>110</v>
      </c>
      <c r="E24" s="428"/>
      <c r="F24" s="171">
        <v>758</v>
      </c>
      <c r="G24" s="171">
        <v>791</v>
      </c>
      <c r="H24" s="171">
        <v>980</v>
      </c>
      <c r="I24" s="171">
        <v>921</v>
      </c>
      <c r="J24" s="426">
        <v>855</v>
      </c>
      <c r="K24" s="426">
        <v>954</v>
      </c>
      <c r="L24" s="426">
        <v>1024</v>
      </c>
      <c r="M24" s="300">
        <v>955</v>
      </c>
      <c r="N24" s="300">
        <v>962</v>
      </c>
    </row>
    <row r="25" spans="3:15" ht="14.25" outlineLevel="1" x14ac:dyDescent="0.2">
      <c r="C25" s="427" t="s">
        <v>26</v>
      </c>
      <c r="D25" s="415" t="s">
        <v>110</v>
      </c>
      <c r="E25" s="428"/>
      <c r="F25" s="171">
        <v>821</v>
      </c>
      <c r="G25" s="171">
        <v>910</v>
      </c>
      <c r="H25" s="171">
        <v>959</v>
      </c>
      <c r="I25" s="171">
        <v>1028</v>
      </c>
      <c r="J25" s="426">
        <v>930</v>
      </c>
      <c r="K25" s="426">
        <v>977</v>
      </c>
      <c r="L25" s="426">
        <v>1018</v>
      </c>
      <c r="M25" s="300">
        <v>952</v>
      </c>
      <c r="N25" s="300">
        <v>914</v>
      </c>
      <c r="O25" s="429"/>
    </row>
    <row r="26" spans="3:15" outlineLevel="1" x14ac:dyDescent="0.2">
      <c r="C26" s="408"/>
      <c r="D26" s="408"/>
      <c r="E26" s="408"/>
      <c r="F26" s="171"/>
      <c r="G26" s="171"/>
      <c r="H26" s="171"/>
      <c r="I26" s="171"/>
      <c r="J26" s="426"/>
      <c r="K26" s="426"/>
      <c r="L26" s="426"/>
      <c r="O26" s="430"/>
    </row>
    <row r="27" spans="3:15" x14ac:dyDescent="0.2">
      <c r="C27" s="408"/>
      <c r="D27" s="408"/>
      <c r="E27" s="408"/>
      <c r="F27" s="408"/>
      <c r="G27" s="408"/>
      <c r="H27" s="412"/>
      <c r="I27" s="413"/>
    </row>
    <row r="28" spans="3:15" x14ac:dyDescent="0.2">
      <c r="C28" s="423" t="s">
        <v>172</v>
      </c>
      <c r="D28" s="424">
        <f>SUM(D33:D34)</f>
        <v>0</v>
      </c>
      <c r="E28" s="431"/>
      <c r="F28" s="99">
        <v>245</v>
      </c>
      <c r="G28" s="99">
        <f>SUM(G29:G31)</f>
        <v>242</v>
      </c>
      <c r="H28" s="99">
        <f>SUM(H29,H30,H31)</f>
        <v>250</v>
      </c>
      <c r="I28" s="99">
        <f>SUM(I29:I31)</f>
        <v>251</v>
      </c>
      <c r="J28" s="99">
        <f>SUM(J29:J31)</f>
        <v>300</v>
      </c>
      <c r="K28" s="99">
        <f>SUM(K29,K30,K31)</f>
        <v>263</v>
      </c>
      <c r="L28" s="99">
        <f>SUM(L33:L34)</f>
        <v>324</v>
      </c>
      <c r="M28" s="99">
        <f>SUM(M29:M31)</f>
        <v>307</v>
      </c>
      <c r="N28" s="99">
        <f>SUM(N29:N31)</f>
        <v>290</v>
      </c>
    </row>
    <row r="29" spans="3:15" s="300" customFormat="1" ht="14.25" x14ac:dyDescent="0.2">
      <c r="C29" s="417" t="s">
        <v>207</v>
      </c>
      <c r="D29" s="418" t="s">
        <v>110</v>
      </c>
      <c r="E29" s="419"/>
      <c r="F29" s="420">
        <v>192</v>
      </c>
      <c r="G29" s="420">
        <v>185</v>
      </c>
      <c r="H29" s="420">
        <v>189</v>
      </c>
      <c r="I29" s="421">
        <v>193</v>
      </c>
      <c r="J29" s="300">
        <v>214</v>
      </c>
      <c r="K29" s="300">
        <v>214</v>
      </c>
      <c r="L29" s="300">
        <v>278</v>
      </c>
      <c r="M29" s="300">
        <v>269</v>
      </c>
      <c r="N29" s="300">
        <v>250</v>
      </c>
      <c r="O29" s="422"/>
    </row>
    <row r="30" spans="3:15" s="300" customFormat="1" ht="14.25" x14ac:dyDescent="0.2">
      <c r="C30" s="417" t="s">
        <v>208</v>
      </c>
      <c r="D30" s="418" t="s">
        <v>110</v>
      </c>
      <c r="E30" s="419"/>
      <c r="F30" s="420">
        <v>47</v>
      </c>
      <c r="G30" s="420">
        <v>43</v>
      </c>
      <c r="H30" s="420">
        <v>46</v>
      </c>
      <c r="I30" s="421">
        <v>42</v>
      </c>
      <c r="J30" s="300">
        <v>69</v>
      </c>
      <c r="K30" s="300">
        <v>32</v>
      </c>
      <c r="L30" s="300">
        <v>28</v>
      </c>
      <c r="M30" s="300">
        <v>21</v>
      </c>
      <c r="N30" s="300">
        <v>20</v>
      </c>
      <c r="O30" s="422"/>
    </row>
    <row r="31" spans="3:15" s="300" customFormat="1" ht="14.25" x14ac:dyDescent="0.2">
      <c r="C31" s="417" t="s">
        <v>209</v>
      </c>
      <c r="D31" s="418" t="s">
        <v>110</v>
      </c>
      <c r="E31" s="419"/>
      <c r="F31" s="420">
        <v>6</v>
      </c>
      <c r="G31" s="420">
        <v>14</v>
      </c>
      <c r="H31" s="420">
        <v>15</v>
      </c>
      <c r="I31" s="421">
        <v>16</v>
      </c>
      <c r="J31" s="300">
        <v>17</v>
      </c>
      <c r="K31" s="300">
        <v>17</v>
      </c>
      <c r="L31" s="300">
        <v>17</v>
      </c>
      <c r="M31" s="300">
        <v>17</v>
      </c>
      <c r="N31" s="300">
        <v>20</v>
      </c>
      <c r="O31" s="422"/>
    </row>
    <row r="32" spans="3:15" s="300" customFormat="1" ht="14.25" x14ac:dyDescent="0.2">
      <c r="C32" s="417"/>
      <c r="D32" s="418"/>
      <c r="E32" s="419"/>
      <c r="F32" s="420"/>
      <c r="G32" s="420"/>
      <c r="H32" s="420"/>
      <c r="I32" s="421"/>
      <c r="O32" s="422"/>
    </row>
    <row r="33" spans="3:16" ht="14.25" x14ac:dyDescent="0.2">
      <c r="C33" s="427" t="s">
        <v>27</v>
      </c>
      <c r="D33" s="415" t="s">
        <v>110</v>
      </c>
      <c r="E33" s="419"/>
      <c r="F33" s="420">
        <v>244</v>
      </c>
      <c r="G33" s="412">
        <v>242</v>
      </c>
      <c r="H33" s="412">
        <v>242</v>
      </c>
      <c r="I33" s="421">
        <v>251</v>
      </c>
      <c r="J33" s="300">
        <v>246</v>
      </c>
      <c r="K33" s="300">
        <v>263</v>
      </c>
      <c r="L33" s="300">
        <f>SUM(L29:L31)</f>
        <v>323</v>
      </c>
      <c r="M33" s="300">
        <v>307</v>
      </c>
      <c r="N33" s="300">
        <v>289</v>
      </c>
      <c r="O33" s="429"/>
    </row>
    <row r="34" spans="3:16" ht="14.25" x14ac:dyDescent="0.2">
      <c r="C34" s="427" t="s">
        <v>26</v>
      </c>
      <c r="D34" s="415" t="s">
        <v>110</v>
      </c>
      <c r="E34" s="419"/>
      <c r="F34" s="420">
        <v>1</v>
      </c>
      <c r="G34" s="412">
        <v>0</v>
      </c>
      <c r="H34" s="412">
        <v>8</v>
      </c>
      <c r="I34" s="421">
        <v>0</v>
      </c>
      <c r="J34" s="300">
        <v>0</v>
      </c>
      <c r="K34" s="432">
        <v>0</v>
      </c>
      <c r="L34" s="432">
        <v>1</v>
      </c>
      <c r="M34" s="300">
        <v>0</v>
      </c>
      <c r="N34" s="300">
        <v>1</v>
      </c>
    </row>
    <row r="35" spans="3:16" x14ac:dyDescent="0.2">
      <c r="C35" s="433"/>
      <c r="D35" s="433"/>
      <c r="E35" s="433"/>
      <c r="F35" s="408"/>
      <c r="G35" s="408"/>
      <c r="H35" s="99"/>
      <c r="I35" s="413"/>
    </row>
    <row r="36" spans="3:16" x14ac:dyDescent="0.2">
      <c r="C36" s="735" t="s">
        <v>224</v>
      </c>
      <c r="D36" s="735"/>
      <c r="E36" s="434"/>
      <c r="F36" s="56">
        <v>2011</v>
      </c>
      <c r="G36" s="56">
        <v>2012</v>
      </c>
      <c r="H36" s="56">
        <v>2013</v>
      </c>
      <c r="I36" s="51">
        <v>2014</v>
      </c>
      <c r="J36" s="51">
        <v>2015</v>
      </c>
      <c r="K36" s="51">
        <v>2016</v>
      </c>
      <c r="L36" s="51">
        <v>2017</v>
      </c>
      <c r="M36" s="51">
        <v>2018</v>
      </c>
      <c r="N36" s="51">
        <v>2019</v>
      </c>
    </row>
    <row r="37" spans="3:16" ht="14.25" customHeight="1" outlineLevel="1" x14ac:dyDescent="0.2">
      <c r="C37" s="408"/>
      <c r="D37" s="408"/>
      <c r="E37" s="409"/>
      <c r="F37" s="409"/>
      <c r="G37" s="409"/>
      <c r="H37" s="412"/>
    </row>
    <row r="38" spans="3:16" ht="43.5" customHeight="1" outlineLevel="1" x14ac:dyDescent="0.2">
      <c r="C38" s="414" t="s">
        <v>206</v>
      </c>
      <c r="D38" s="435"/>
      <c r="E38" s="409"/>
      <c r="F38" s="402">
        <f>SUM(F39:F40)</f>
        <v>4</v>
      </c>
      <c r="G38" s="402">
        <f>SUM(G39:G40)</f>
        <v>4</v>
      </c>
      <c r="H38" s="402">
        <f>SUM(H39:H40)</f>
        <v>4</v>
      </c>
      <c r="I38" s="402">
        <f>SUM(I39:I40)</f>
        <v>4</v>
      </c>
      <c r="J38" s="402">
        <f>SUM(J39:J40)</f>
        <v>4</v>
      </c>
      <c r="K38" s="402">
        <v>4</v>
      </c>
      <c r="L38" s="402">
        <f>SUM(L39:L40)</f>
        <v>4</v>
      </c>
      <c r="M38" s="299">
        <v>4</v>
      </c>
      <c r="N38" s="299">
        <v>4</v>
      </c>
    </row>
    <row r="39" spans="3:16" outlineLevel="1" x14ac:dyDescent="0.2">
      <c r="C39" s="417" t="s">
        <v>207</v>
      </c>
      <c r="D39" s="436"/>
      <c r="E39" s="409"/>
      <c r="F39" s="402">
        <v>1</v>
      </c>
      <c r="G39" s="402">
        <v>1</v>
      </c>
      <c r="H39" s="402">
        <v>1</v>
      </c>
      <c r="I39" s="412">
        <v>1</v>
      </c>
      <c r="J39" s="412">
        <v>1</v>
      </c>
      <c r="K39" s="412">
        <v>1</v>
      </c>
      <c r="L39" s="412">
        <v>1</v>
      </c>
      <c r="M39" s="412">
        <v>1</v>
      </c>
      <c r="N39" s="412">
        <v>1</v>
      </c>
      <c r="O39" s="422"/>
      <c r="P39" s="300"/>
    </row>
    <row r="40" spans="3:16" s="300" customFormat="1" x14ac:dyDescent="0.2">
      <c r="C40" s="417" t="s">
        <v>209</v>
      </c>
      <c r="D40" s="436"/>
      <c r="E40" s="437"/>
      <c r="F40" s="438">
        <v>3</v>
      </c>
      <c r="G40" s="438">
        <v>3</v>
      </c>
      <c r="H40" s="438">
        <v>3</v>
      </c>
      <c r="I40" s="421">
        <v>3</v>
      </c>
      <c r="J40" s="300">
        <v>3</v>
      </c>
      <c r="K40" s="300">
        <v>3</v>
      </c>
      <c r="L40" s="300">
        <v>3</v>
      </c>
      <c r="M40" s="300">
        <v>3</v>
      </c>
      <c r="N40" s="300">
        <v>3</v>
      </c>
      <c r="O40" s="422"/>
    </row>
    <row r="41" spans="3:16" s="300" customFormat="1" ht="14.25" x14ac:dyDescent="0.2">
      <c r="C41" s="417"/>
      <c r="D41" s="436"/>
      <c r="E41" s="419"/>
      <c r="F41" s="436"/>
      <c r="G41" s="436"/>
      <c r="H41" s="420"/>
      <c r="I41" s="421"/>
    </row>
    <row r="42" spans="3:16" outlineLevel="1" x14ac:dyDescent="0.2">
      <c r="C42" s="427"/>
      <c r="D42" s="408"/>
      <c r="E42" s="408"/>
      <c r="F42" s="408"/>
      <c r="G42" s="408"/>
      <c r="H42" s="412"/>
      <c r="I42" s="413"/>
    </row>
    <row r="43" spans="3:16" outlineLevel="1" x14ac:dyDescent="0.2">
      <c r="C43" s="427"/>
      <c r="D43" s="408"/>
      <c r="E43" s="431"/>
      <c r="F43" s="408"/>
      <c r="G43" s="408"/>
      <c r="H43" s="412"/>
      <c r="I43" s="413"/>
    </row>
    <row r="44" spans="3:16" s="300" customFormat="1" ht="14.25" x14ac:dyDescent="0.2">
      <c r="C44" s="423" t="s">
        <v>153</v>
      </c>
      <c r="D44" s="433"/>
      <c r="E44" s="419"/>
      <c r="F44" s="439">
        <f>SUM(F48,F49)</f>
        <v>76</v>
      </c>
      <c r="G44" s="439">
        <f>SUM(G48,G49)</f>
        <v>67</v>
      </c>
      <c r="H44" s="439">
        <f>SUM(H48,H49)</f>
        <v>66</v>
      </c>
      <c r="I44" s="439">
        <f>SUM(I48,I49)</f>
        <v>69</v>
      </c>
      <c r="J44" s="439">
        <f>SUM(J48,J49)</f>
        <v>69</v>
      </c>
      <c r="K44" s="439">
        <f>SUM(K48:K49)</f>
        <v>63</v>
      </c>
      <c r="L44" s="439">
        <f>SUM(L48:L49)</f>
        <v>64</v>
      </c>
      <c r="M44" s="439">
        <f>SUM(M48,M49)</f>
        <v>59</v>
      </c>
      <c r="N44" s="439">
        <f>SUM(N48,N49)</f>
        <v>53</v>
      </c>
      <c r="O44" s="422"/>
    </row>
    <row r="45" spans="3:16" s="300" customFormat="1" ht="14.25" x14ac:dyDescent="0.2">
      <c r="C45" s="417" t="s">
        <v>207</v>
      </c>
      <c r="D45" s="436"/>
      <c r="E45" s="419"/>
      <c r="F45" s="420">
        <v>50</v>
      </c>
      <c r="G45" s="420">
        <v>48</v>
      </c>
      <c r="H45" s="420">
        <v>43</v>
      </c>
      <c r="I45" s="421">
        <v>43</v>
      </c>
      <c r="J45" s="300">
        <v>48</v>
      </c>
      <c r="K45" s="300">
        <v>45</v>
      </c>
      <c r="L45" s="300">
        <v>52</v>
      </c>
      <c r="M45" s="300">
        <v>37</v>
      </c>
      <c r="N45" s="300">
        <v>38</v>
      </c>
      <c r="O45" s="422"/>
    </row>
    <row r="46" spans="3:16" ht="14.25" outlineLevel="1" x14ac:dyDescent="0.2">
      <c r="C46" s="417" t="s">
        <v>209</v>
      </c>
      <c r="D46" s="436"/>
      <c r="E46" s="419"/>
      <c r="F46" s="412">
        <v>26</v>
      </c>
      <c r="G46" s="412">
        <v>19</v>
      </c>
      <c r="H46" s="420">
        <v>23</v>
      </c>
      <c r="I46" s="420">
        <v>26</v>
      </c>
      <c r="J46" s="420">
        <v>21</v>
      </c>
      <c r="K46" s="420">
        <v>18</v>
      </c>
      <c r="L46" s="420">
        <v>12</v>
      </c>
      <c r="M46" s="420">
        <v>22</v>
      </c>
      <c r="N46" s="420">
        <v>15</v>
      </c>
    </row>
    <row r="47" spans="3:16" ht="14.25" outlineLevel="1" x14ac:dyDescent="0.2">
      <c r="C47" s="417"/>
      <c r="D47" s="436"/>
      <c r="E47" s="419"/>
      <c r="F47" s="412"/>
      <c r="G47" s="412"/>
      <c r="H47" s="420"/>
      <c r="I47" s="420"/>
      <c r="J47" s="420"/>
      <c r="K47" s="420"/>
      <c r="L47" s="420"/>
    </row>
    <row r="48" spans="3:16" ht="14.25" outlineLevel="1" x14ac:dyDescent="0.2">
      <c r="C48" s="427" t="s">
        <v>27</v>
      </c>
      <c r="D48" s="436"/>
      <c r="E48" s="419"/>
      <c r="F48" s="412">
        <v>35</v>
      </c>
      <c r="G48" s="412">
        <v>29</v>
      </c>
      <c r="H48" s="412">
        <v>25</v>
      </c>
      <c r="I48" s="412">
        <v>23</v>
      </c>
      <c r="J48" s="412">
        <v>25</v>
      </c>
      <c r="K48" s="412">
        <v>30</v>
      </c>
      <c r="L48" s="412">
        <v>29</v>
      </c>
      <c r="M48" s="412">
        <v>24</v>
      </c>
      <c r="N48" s="412">
        <v>24</v>
      </c>
      <c r="O48" s="429"/>
    </row>
    <row r="49" spans="2:15" outlineLevel="1" x14ac:dyDescent="0.2">
      <c r="C49" s="427" t="s">
        <v>26</v>
      </c>
      <c r="D49" s="436"/>
      <c r="E49" s="408"/>
      <c r="F49" s="412">
        <v>41</v>
      </c>
      <c r="G49" s="412">
        <v>38</v>
      </c>
      <c r="H49" s="412">
        <v>41</v>
      </c>
      <c r="I49" s="421">
        <v>46</v>
      </c>
      <c r="J49" s="412">
        <v>44</v>
      </c>
      <c r="K49" s="412">
        <v>33</v>
      </c>
      <c r="L49" s="412">
        <v>35</v>
      </c>
      <c r="M49" s="412">
        <v>35</v>
      </c>
      <c r="N49" s="412">
        <v>29</v>
      </c>
    </row>
    <row r="50" spans="2:15" outlineLevel="1" x14ac:dyDescent="0.2">
      <c r="C50" s="427"/>
      <c r="D50" s="408"/>
      <c r="E50" s="408"/>
      <c r="F50" s="408"/>
      <c r="G50" s="408"/>
      <c r="H50" s="412"/>
      <c r="I50" s="413"/>
    </row>
    <row r="51" spans="2:15" outlineLevel="1" x14ac:dyDescent="0.2">
      <c r="C51" s="427"/>
      <c r="D51" s="408"/>
      <c r="E51" s="431"/>
      <c r="F51" s="408"/>
      <c r="G51" s="408"/>
      <c r="H51" s="412"/>
      <c r="I51" s="413"/>
    </row>
    <row r="52" spans="2:15" s="300" customFormat="1" ht="14.25" x14ac:dyDescent="0.2">
      <c r="C52" s="427"/>
      <c r="D52" s="408"/>
      <c r="E52" s="419"/>
      <c r="F52" s="436"/>
      <c r="G52" s="436"/>
      <c r="H52" s="420"/>
      <c r="I52" s="421"/>
      <c r="O52" s="422"/>
    </row>
    <row r="53" spans="2:15" s="300" customFormat="1" ht="14.25" x14ac:dyDescent="0.2">
      <c r="C53" s="423" t="s">
        <v>172</v>
      </c>
      <c r="D53" s="408"/>
      <c r="E53" s="419"/>
      <c r="F53" s="436"/>
      <c r="G53" s="436"/>
      <c r="H53" s="99"/>
      <c r="I53" s="421"/>
      <c r="O53" s="422"/>
    </row>
    <row r="54" spans="2:15" ht="14.25" outlineLevel="1" x14ac:dyDescent="0.2">
      <c r="C54" s="417" t="s">
        <v>207</v>
      </c>
      <c r="D54" s="436"/>
      <c r="E54" s="419"/>
      <c r="F54" s="412">
        <v>12</v>
      </c>
      <c r="G54" s="412">
        <v>11</v>
      </c>
      <c r="H54" s="412">
        <v>9</v>
      </c>
      <c r="I54" s="412">
        <v>8</v>
      </c>
      <c r="J54" s="412">
        <v>8</v>
      </c>
      <c r="K54" s="412">
        <v>9</v>
      </c>
      <c r="L54" s="412">
        <v>9</v>
      </c>
      <c r="M54" s="412">
        <v>12</v>
      </c>
      <c r="N54" s="412">
        <v>17</v>
      </c>
    </row>
    <row r="55" spans="2:15" ht="14.25" x14ac:dyDescent="0.2">
      <c r="C55" s="417" t="s">
        <v>209</v>
      </c>
      <c r="D55" s="436"/>
      <c r="E55" s="419"/>
      <c r="F55" s="412">
        <v>3</v>
      </c>
      <c r="G55" s="412">
        <v>3</v>
      </c>
      <c r="H55" s="412">
        <v>3</v>
      </c>
      <c r="I55" s="412">
        <v>3</v>
      </c>
      <c r="J55" s="412">
        <v>3</v>
      </c>
      <c r="K55" s="412">
        <v>3</v>
      </c>
      <c r="L55" s="412">
        <v>2</v>
      </c>
      <c r="M55" s="412">
        <v>2</v>
      </c>
      <c r="N55" s="412">
        <v>2</v>
      </c>
    </row>
    <row r="56" spans="2:15" ht="14.25" x14ac:dyDescent="0.2">
      <c r="C56" s="417"/>
      <c r="D56" s="436"/>
      <c r="E56" s="419"/>
      <c r="F56" s="412"/>
      <c r="G56" s="412"/>
      <c r="H56" s="412"/>
      <c r="I56" s="412"/>
      <c r="J56" s="412"/>
      <c r="K56" s="412"/>
      <c r="L56" s="412"/>
      <c r="M56" s="412"/>
      <c r="N56" s="412"/>
    </row>
    <row r="57" spans="2:15" x14ac:dyDescent="0.2">
      <c r="B57" s="413"/>
      <c r="C57" s="427" t="s">
        <v>27</v>
      </c>
      <c r="D57" s="436"/>
      <c r="E57" s="408"/>
      <c r="F57" s="412">
        <v>15</v>
      </c>
      <c r="G57" s="412">
        <v>14</v>
      </c>
      <c r="H57" s="412">
        <v>11</v>
      </c>
      <c r="I57" s="412">
        <v>11</v>
      </c>
      <c r="J57" s="412">
        <v>11</v>
      </c>
      <c r="K57" s="412">
        <v>11</v>
      </c>
      <c r="L57" s="412">
        <v>11</v>
      </c>
      <c r="M57" s="412">
        <v>14</v>
      </c>
      <c r="N57" s="412">
        <v>19</v>
      </c>
    </row>
    <row r="58" spans="2:15" x14ac:dyDescent="0.2">
      <c r="B58" s="440"/>
      <c r="C58" s="441" t="s">
        <v>26</v>
      </c>
      <c r="D58" s="442"/>
      <c r="E58" s="442"/>
      <c r="F58" s="443">
        <v>0</v>
      </c>
      <c r="G58" s="443">
        <v>0</v>
      </c>
      <c r="H58" s="443">
        <v>1</v>
      </c>
      <c r="I58" s="440">
        <v>0</v>
      </c>
      <c r="J58" s="443">
        <v>0</v>
      </c>
      <c r="K58" s="443">
        <v>0</v>
      </c>
      <c r="L58" s="443">
        <v>0</v>
      </c>
      <c r="M58" s="443">
        <v>0</v>
      </c>
      <c r="N58" s="443">
        <v>0</v>
      </c>
    </row>
    <row r="59" spans="2:15" x14ac:dyDescent="0.2">
      <c r="B59" s="413"/>
      <c r="C59" s="444"/>
      <c r="D59" s="408"/>
      <c r="E59" s="408"/>
      <c r="F59" s="412"/>
      <c r="G59" s="412"/>
      <c r="H59" s="412"/>
      <c r="I59" s="413"/>
    </row>
    <row r="60" spans="2:15" x14ac:dyDescent="0.2">
      <c r="B60" s="413"/>
      <c r="C60" s="65" t="s">
        <v>124</v>
      </c>
      <c r="D60" s="413"/>
      <c r="E60" s="413"/>
      <c r="F60" s="413"/>
      <c r="G60" s="413"/>
      <c r="H60" s="412"/>
    </row>
    <row r="61" spans="2:15" ht="40.5" customHeight="1" x14ac:dyDescent="0.2">
      <c r="B61" s="445">
        <v>1</v>
      </c>
      <c r="C61" s="734" t="s">
        <v>210</v>
      </c>
      <c r="D61" s="734"/>
      <c r="E61" s="734"/>
      <c r="F61" s="734"/>
      <c r="G61" s="734"/>
      <c r="H61" s="734"/>
    </row>
    <row r="62" spans="2:15" ht="14.25" x14ac:dyDescent="0.2">
      <c r="B62" s="446"/>
      <c r="C62" s="413"/>
      <c r="D62" s="413"/>
      <c r="E62" s="413"/>
      <c r="F62" s="413"/>
      <c r="G62" s="413"/>
      <c r="H62" s="412"/>
    </row>
    <row r="63" spans="2:15" ht="14.25" x14ac:dyDescent="0.2">
      <c r="B63" s="446"/>
      <c r="C63" s="444" t="s">
        <v>318</v>
      </c>
      <c r="D63" s="413"/>
      <c r="E63" s="413"/>
      <c r="F63" s="413"/>
      <c r="G63" s="413"/>
      <c r="H63" s="412"/>
    </row>
    <row r="64" spans="2:15" ht="14.25" x14ac:dyDescent="0.2">
      <c r="B64" s="447"/>
    </row>
    <row r="65" spans="2:9" x14ac:dyDescent="0.2">
      <c r="C65" s="448"/>
    </row>
    <row r="66" spans="2:9" x14ac:dyDescent="0.2">
      <c r="C66" s="448"/>
    </row>
    <row r="67" spans="2:9" x14ac:dyDescent="0.2">
      <c r="B67" s="409"/>
      <c r="C67" s="409"/>
    </row>
    <row r="68" spans="2:9" ht="9" customHeight="1" x14ac:dyDescent="0.2"/>
    <row r="69" spans="2:9" x14ac:dyDescent="0.2">
      <c r="B69" s="733">
        <v>28</v>
      </c>
      <c r="C69" s="733"/>
      <c r="D69" s="733"/>
      <c r="E69" s="733"/>
      <c r="F69" s="733"/>
      <c r="G69" s="733"/>
      <c r="H69" s="733"/>
      <c r="I69" s="733"/>
    </row>
  </sheetData>
  <mergeCells count="7">
    <mergeCell ref="D4:I4"/>
    <mergeCell ref="C6:I6"/>
    <mergeCell ref="B69:I69"/>
    <mergeCell ref="C61:H61"/>
    <mergeCell ref="C36:D36"/>
    <mergeCell ref="C11:E11"/>
    <mergeCell ref="C8:L8"/>
  </mergeCells>
  <phoneticPr fontId="0" type="noConversion"/>
  <pageMargins left="0.98425196850393704" right="0.98425196850393704" top="0.98425196850393704" bottom="0.98425196850393704" header="0.51181102362204722" footer="0.51181102362204722"/>
  <pageSetup scale="62" orientation="portrait" r:id="rId1"/>
  <headerFooter alignWithMargins="0"/>
  <ignoredErrors>
    <ignoredError sqref="G19:K19 G28:I28 K44:L44" formulaRange="1"/>
  </ignoredErrors>
  <drawing r:id="rId2"/>
  <legacyDrawing r:id="rId3"/>
  <oleObjects>
    <mc:AlternateContent xmlns:mc="http://schemas.openxmlformats.org/markup-compatibility/2006">
      <mc:Choice Requires="x14">
        <oleObject progId="MSPhotoEd.3" shapeId="21505" r:id="rId4">
          <objectPr defaultSize="0" autoPict="0" r:id="rId5">
            <anchor moveWithCells="1" sizeWithCells="1">
              <from>
                <xdr:col>1</xdr:col>
                <xdr:colOff>0</xdr:colOff>
                <xdr:row>0</xdr:row>
                <xdr:rowOff>9525</xdr:rowOff>
              </from>
              <to>
                <xdr:col>1</xdr:col>
                <xdr:colOff>104775</xdr:colOff>
                <xdr:row>0</xdr:row>
                <xdr:rowOff>57150</xdr:rowOff>
              </to>
            </anchor>
          </objectPr>
        </oleObject>
      </mc:Choice>
      <mc:Fallback>
        <oleObject progId="MSPhotoEd.3" shapeId="21505" r:id="rId4"/>
      </mc:Fallback>
    </mc:AlternateContent>
    <mc:AlternateContent xmlns:mc="http://schemas.openxmlformats.org/markup-compatibility/2006">
      <mc:Choice Requires="x14">
        <oleObject progId="MSPhotoEd.3" shapeId="21506" r:id="rId6">
          <objectPr defaultSize="0" autoPict="0" r:id="rId5">
            <anchor moveWithCells="1" sizeWithCells="1">
              <from>
                <xdr:col>1</xdr:col>
                <xdr:colOff>0</xdr:colOff>
                <xdr:row>0</xdr:row>
                <xdr:rowOff>9525</xdr:rowOff>
              </from>
              <to>
                <xdr:col>1</xdr:col>
                <xdr:colOff>104775</xdr:colOff>
                <xdr:row>0</xdr:row>
                <xdr:rowOff>57150</xdr:rowOff>
              </to>
            </anchor>
          </objectPr>
        </oleObject>
      </mc:Choice>
      <mc:Fallback>
        <oleObject progId="MSPhotoEd.3" shapeId="21506" r:id="rId6"/>
      </mc:Fallback>
    </mc:AlternateContent>
    <mc:AlternateContent xmlns:mc="http://schemas.openxmlformats.org/markup-compatibility/2006">
      <mc:Choice Requires="x14">
        <oleObject progId="MSPhotoEd.3" shapeId="21507" r:id="rId7">
          <objectPr defaultSize="0" autoPict="0" r:id="rId5">
            <anchor moveWithCells="1" sizeWithCells="1">
              <from>
                <xdr:col>0</xdr:col>
                <xdr:colOff>0</xdr:colOff>
                <xdr:row>3</xdr:row>
                <xdr:rowOff>76200</xdr:rowOff>
              </from>
              <to>
                <xdr:col>1</xdr:col>
                <xdr:colOff>57150</xdr:colOff>
                <xdr:row>5</xdr:row>
                <xdr:rowOff>28575</xdr:rowOff>
              </to>
            </anchor>
          </objectPr>
        </oleObject>
      </mc:Choice>
      <mc:Fallback>
        <oleObject progId="MSPhotoEd.3" shapeId="21507" r:id="rId7"/>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6" tint="0.39997558519241921"/>
    <pageSetUpPr fitToPage="1"/>
  </sheetPr>
  <dimension ref="B2:P72"/>
  <sheetViews>
    <sheetView zoomScale="82" zoomScaleNormal="82" zoomScaleSheetLayoutView="81" workbookViewId="0">
      <selection activeCell="O11" sqref="O11"/>
    </sheetView>
  </sheetViews>
  <sheetFormatPr defaultColWidth="9.140625" defaultRowHeight="14.25" x14ac:dyDescent="0.2"/>
  <cols>
    <col min="1" max="1" width="9.140625" style="301"/>
    <col min="2" max="2" width="6.85546875" style="301" customWidth="1"/>
    <col min="3" max="3" width="33.42578125" style="299" customWidth="1"/>
    <col min="4" max="4" width="1.85546875" style="301" customWidth="1"/>
    <col min="5" max="5" width="11.42578125" style="301" hidden="1" customWidth="1"/>
    <col min="6" max="6" width="11.5703125" style="301" hidden="1" customWidth="1"/>
    <col min="7" max="9" width="9.140625" style="301"/>
    <col min="10" max="12" width="12.140625" style="301" bestFit="1" customWidth="1"/>
    <col min="13" max="16384" width="9.140625" style="301"/>
  </cols>
  <sheetData>
    <row r="2" spans="2:16" ht="15" x14ac:dyDescent="0.25">
      <c r="I2" s="403" t="s">
        <v>374</v>
      </c>
    </row>
    <row r="5" spans="2:16" s="299" customFormat="1" ht="12.75" x14ac:dyDescent="0.2">
      <c r="P5" s="170"/>
    </row>
    <row r="6" spans="2:16" s="299" customFormat="1" ht="15.75" x14ac:dyDescent="0.25">
      <c r="B6" s="449" t="s">
        <v>364</v>
      </c>
      <c r="C6" s="449"/>
      <c r="D6" s="449"/>
      <c r="E6" s="449"/>
      <c r="F6" s="449"/>
      <c r="G6" s="449"/>
      <c r="H6" s="449"/>
      <c r="I6" s="449"/>
      <c r="J6" s="449"/>
      <c r="K6" s="449"/>
      <c r="L6" s="449"/>
      <c r="M6" s="449"/>
      <c r="P6" s="170"/>
    </row>
    <row r="7" spans="2:16" s="299" customFormat="1" ht="15.75" x14ac:dyDescent="0.25">
      <c r="D7" s="715"/>
      <c r="E7" s="715"/>
      <c r="F7" s="715"/>
      <c r="G7" s="715"/>
      <c r="H7" s="715"/>
      <c r="I7" s="715"/>
      <c r="J7" s="715"/>
      <c r="K7" s="715"/>
      <c r="L7" s="715"/>
      <c r="M7" s="715"/>
      <c r="P7" s="170"/>
    </row>
    <row r="8" spans="2:16" s="450" customFormat="1" ht="15" customHeight="1" x14ac:dyDescent="0.25">
      <c r="B8" s="451" t="s">
        <v>250</v>
      </c>
      <c r="C8" s="737" t="s">
        <v>265</v>
      </c>
      <c r="D8" s="737"/>
      <c r="E8" s="737"/>
      <c r="F8" s="737"/>
      <c r="G8" s="737"/>
      <c r="H8" s="737"/>
      <c r="I8" s="452"/>
    </row>
    <row r="9" spans="2:16" s="450" customFormat="1" ht="15" x14ac:dyDescent="0.25">
      <c r="C9" s="299"/>
      <c r="D9" s="452"/>
      <c r="E9" s="452"/>
      <c r="F9" s="452"/>
      <c r="G9" s="452"/>
      <c r="H9" s="452"/>
    </row>
    <row r="10" spans="2:16" s="450" customFormat="1" ht="15" x14ac:dyDescent="0.25">
      <c r="B10" s="299"/>
      <c r="D10" s="299"/>
    </row>
    <row r="11" spans="2:16" x14ac:dyDescent="0.2">
      <c r="C11" s="453" t="s">
        <v>222</v>
      </c>
      <c r="D11" s="454"/>
      <c r="E11" s="455">
        <v>2012</v>
      </c>
      <c r="F11" s="455">
        <v>2013</v>
      </c>
      <c r="G11" s="455">
        <v>2014</v>
      </c>
      <c r="H11" s="455">
        <v>2015</v>
      </c>
      <c r="I11" s="455">
        <v>2016</v>
      </c>
      <c r="J11" s="455">
        <v>2017</v>
      </c>
      <c r="K11" s="455">
        <v>2018</v>
      </c>
      <c r="L11" s="455">
        <v>2019</v>
      </c>
    </row>
    <row r="12" spans="2:16" ht="15" x14ac:dyDescent="0.25">
      <c r="C12" s="456" t="s">
        <v>223</v>
      </c>
      <c r="D12" s="457"/>
      <c r="E12" s="458">
        <f t="shared" ref="E12:J12" si="0">SUM(E20,E28,E36,E44,E52,E60)</f>
        <v>0</v>
      </c>
      <c r="F12" s="458">
        <f t="shared" si="0"/>
        <v>0</v>
      </c>
      <c r="G12" s="459">
        <f t="shared" si="0"/>
        <v>2018</v>
      </c>
      <c r="H12" s="459">
        <f t="shared" si="0"/>
        <v>1854</v>
      </c>
      <c r="I12" s="459">
        <f t="shared" si="0"/>
        <v>1994</v>
      </c>
      <c r="J12" s="459">
        <f t="shared" si="0"/>
        <v>2106</v>
      </c>
      <c r="K12" s="459">
        <f t="shared" ref="K12:L12" si="1">SUM(K20,K28,K36,K44,K52,K60)</f>
        <v>1966</v>
      </c>
      <c r="L12" s="459">
        <f t="shared" si="1"/>
        <v>1929</v>
      </c>
    </row>
    <row r="13" spans="2:16" ht="15" x14ac:dyDescent="0.25">
      <c r="C13" s="460" t="s">
        <v>207</v>
      </c>
      <c r="D13" s="457"/>
      <c r="E13" s="458">
        <f t="shared" ref="E13:H18" si="2">SUM(E21,E29,E37,E45,E53,E61)</f>
        <v>0</v>
      </c>
      <c r="F13" s="458">
        <f t="shared" si="2"/>
        <v>0</v>
      </c>
      <c r="G13" s="459">
        <f t="shared" si="2"/>
        <v>1226</v>
      </c>
      <c r="H13" s="459">
        <f t="shared" si="2"/>
        <v>1180</v>
      </c>
      <c r="I13" s="459">
        <f>SUM(I21,I29,I37,I45,I53,I61)</f>
        <v>1183</v>
      </c>
      <c r="J13" s="459">
        <f t="shared" ref="J13:L13" si="3">SUM(J21,J29,J37,J45,J53,J61)</f>
        <v>1374</v>
      </c>
      <c r="K13" s="459">
        <f t="shared" si="3"/>
        <v>1323</v>
      </c>
      <c r="L13" s="459">
        <f t="shared" si="3"/>
        <v>1193</v>
      </c>
      <c r="M13" s="299"/>
    </row>
    <row r="14" spans="2:16" x14ac:dyDescent="0.2">
      <c r="C14" s="460" t="s">
        <v>208</v>
      </c>
      <c r="D14" s="457"/>
      <c r="E14" s="458">
        <f t="shared" si="2"/>
        <v>0</v>
      </c>
      <c r="F14" s="458">
        <f t="shared" si="2"/>
        <v>0</v>
      </c>
      <c r="G14" s="461">
        <f t="shared" si="2"/>
        <v>480</v>
      </c>
      <c r="H14" s="461">
        <f t="shared" si="2"/>
        <v>359</v>
      </c>
      <c r="I14" s="461">
        <f>SUM(I22,I30,I38,I46,I54,I62)</f>
        <v>509</v>
      </c>
      <c r="J14" s="461">
        <f t="shared" ref="J14:L14" si="4">SUM(J22,J30,J38,J46,J54,J62)</f>
        <v>422</v>
      </c>
      <c r="K14" s="461">
        <f t="shared" si="4"/>
        <v>393</v>
      </c>
      <c r="L14" s="461">
        <f t="shared" si="4"/>
        <v>470</v>
      </c>
      <c r="M14" s="299"/>
    </row>
    <row r="15" spans="2:16" x14ac:dyDescent="0.2">
      <c r="C15" s="460" t="s">
        <v>209</v>
      </c>
      <c r="D15" s="457"/>
      <c r="E15" s="458">
        <f t="shared" si="2"/>
        <v>0</v>
      </c>
      <c r="F15" s="458">
        <f t="shared" si="2"/>
        <v>0</v>
      </c>
      <c r="G15" s="301">
        <v>312</v>
      </c>
      <c r="H15" s="461">
        <f t="shared" si="2"/>
        <v>315</v>
      </c>
      <c r="I15" s="461">
        <v>302</v>
      </c>
      <c r="J15" s="461">
        <v>275</v>
      </c>
      <c r="K15" s="461">
        <f t="shared" ref="K15" si="5">SUM(K23,K31,K39,K47,K55,K63)</f>
        <v>250</v>
      </c>
      <c r="L15" s="301">
        <v>313</v>
      </c>
    </row>
    <row r="16" spans="2:16" x14ac:dyDescent="0.2">
      <c r="C16" s="462" t="s">
        <v>27</v>
      </c>
      <c r="D16" s="457"/>
      <c r="E16" s="458">
        <f t="shared" si="2"/>
        <v>0</v>
      </c>
      <c r="F16" s="458">
        <f t="shared" si="2"/>
        <v>0</v>
      </c>
      <c r="G16" s="461">
        <f t="shared" si="2"/>
        <v>944</v>
      </c>
      <c r="H16" s="461">
        <f t="shared" si="2"/>
        <v>880</v>
      </c>
      <c r="I16" s="461">
        <f>SUM(I24,I32,I40,I48,I56,I64)</f>
        <v>975</v>
      </c>
      <c r="J16" s="461">
        <f t="shared" ref="J16:L16" si="6">SUM(J24,J32,J40,J48,J56,J64)</f>
        <v>1053</v>
      </c>
      <c r="K16" s="461">
        <f t="shared" si="6"/>
        <v>979</v>
      </c>
      <c r="L16" s="461">
        <f t="shared" si="6"/>
        <v>919</v>
      </c>
      <c r="M16" s="299"/>
    </row>
    <row r="17" spans="3:13" x14ac:dyDescent="0.2">
      <c r="C17" s="462" t="s">
        <v>26</v>
      </c>
      <c r="D17" s="457"/>
      <c r="E17" s="458">
        <f t="shared" si="2"/>
        <v>0</v>
      </c>
      <c r="F17" s="458">
        <f t="shared" si="2"/>
        <v>0</v>
      </c>
      <c r="G17" s="461">
        <f t="shared" si="2"/>
        <v>1074</v>
      </c>
      <c r="H17" s="461">
        <f t="shared" si="2"/>
        <v>974</v>
      </c>
      <c r="I17" s="461">
        <f>SUM(I25,I33,I41,I49,I57,I65)</f>
        <v>1019</v>
      </c>
      <c r="J17" s="461">
        <f t="shared" ref="J17:L17" si="7">SUM(J25,J33,J41,J49,J57,J65)</f>
        <v>1053</v>
      </c>
      <c r="K17" s="461">
        <f t="shared" si="7"/>
        <v>987</v>
      </c>
      <c r="L17" s="461">
        <f t="shared" si="7"/>
        <v>1010</v>
      </c>
      <c r="M17" s="299"/>
    </row>
    <row r="18" spans="3:13" ht="15" x14ac:dyDescent="0.25">
      <c r="C18" s="463" t="s">
        <v>251</v>
      </c>
      <c r="D18" s="457"/>
      <c r="E18" s="458">
        <f t="shared" si="2"/>
        <v>0</v>
      </c>
      <c r="F18" s="458">
        <f t="shared" si="2"/>
        <v>0</v>
      </c>
      <c r="G18" s="459">
        <f t="shared" si="2"/>
        <v>42</v>
      </c>
      <c r="H18" s="459">
        <f t="shared" si="2"/>
        <v>39</v>
      </c>
      <c r="I18" s="459">
        <f>SUM(I26,I34,I42,I50,I58,I66)</f>
        <v>26</v>
      </c>
      <c r="J18" s="459">
        <f t="shared" ref="J18:L18" si="8">SUM(J26,J34,J42,J50,J58,J66)</f>
        <v>26</v>
      </c>
      <c r="K18" s="459">
        <f t="shared" si="8"/>
        <v>41</v>
      </c>
      <c r="L18" s="459">
        <f t="shared" si="8"/>
        <v>39</v>
      </c>
    </row>
    <row r="19" spans="3:13" x14ac:dyDescent="0.2">
      <c r="C19" s="456"/>
      <c r="D19" s="457"/>
      <c r="E19" s="302"/>
      <c r="F19" s="302"/>
    </row>
    <row r="20" spans="3:13" ht="15" x14ac:dyDescent="0.25">
      <c r="C20" s="456" t="s">
        <v>177</v>
      </c>
      <c r="D20" s="457"/>
      <c r="E20" s="464">
        <f>IF(SUM(E21:E23)&lt;&gt;SUM(E24:E25),"ERROR",SUM(E21:E23))</f>
        <v>0</v>
      </c>
      <c r="F20" s="464">
        <f>IF(SUM(F21:F23)&lt;&gt;SUM(F24:F25),"ERROR",SUM(F21:F23))</f>
        <v>0</v>
      </c>
      <c r="G20" s="465">
        <f>IF(SUM(G21:G23)&lt;&gt;SUM(G24:G25),"ERROR",SUM(G21:G23))</f>
        <v>1544</v>
      </c>
      <c r="H20" s="465">
        <f>IF(SUM(H21:H23)&lt;&gt;SUM(H24:H25),"ERROR",SUM(H21:H23))</f>
        <v>1401</v>
      </c>
      <c r="I20" s="465">
        <f>IF(SUM(I21:I23)&lt;&gt;SUM(I24:I25),"ERROR",SUM(I21:I23))</f>
        <v>1555</v>
      </c>
      <c r="J20" s="465">
        <f>SUM(J24:J25)</f>
        <v>1687</v>
      </c>
      <c r="K20" s="465">
        <f>IF(SUM(K21:K23)&lt;&gt;SUM(K24:K25),"ERROR",SUM(K21:K23))</f>
        <v>1622</v>
      </c>
      <c r="L20" s="465">
        <f>IF(SUM(L21:L23)&lt;&gt;SUM(L24:L25),"ERROR",SUM(L21:L23))</f>
        <v>1565</v>
      </c>
    </row>
    <row r="21" spans="3:13" x14ac:dyDescent="0.2">
      <c r="C21" s="460" t="s">
        <v>207</v>
      </c>
      <c r="D21" s="457"/>
      <c r="E21" s="302"/>
      <c r="F21" s="302"/>
      <c r="G21" s="301">
        <v>999</v>
      </c>
      <c r="H21" s="301">
        <v>965</v>
      </c>
      <c r="I21" s="301">
        <v>981</v>
      </c>
      <c r="J21" s="716">
        <v>1160</v>
      </c>
      <c r="K21" s="716">
        <v>1160</v>
      </c>
      <c r="L21" s="716">
        <v>1016</v>
      </c>
    </row>
    <row r="22" spans="3:13" x14ac:dyDescent="0.2">
      <c r="C22" s="460" t="s">
        <v>208</v>
      </c>
      <c r="D22" s="457"/>
      <c r="E22" s="302"/>
      <c r="F22" s="302"/>
      <c r="G22" s="301">
        <v>464</v>
      </c>
      <c r="H22" s="301">
        <v>348</v>
      </c>
      <c r="I22" s="301">
        <v>492</v>
      </c>
      <c r="J22" s="301">
        <v>404</v>
      </c>
      <c r="K22" s="301">
        <v>376</v>
      </c>
      <c r="L22" s="301">
        <v>449</v>
      </c>
    </row>
    <row r="23" spans="3:13" x14ac:dyDescent="0.2">
      <c r="C23" s="460" t="s">
        <v>209</v>
      </c>
      <c r="D23" s="457"/>
      <c r="E23" s="302"/>
      <c r="F23" s="302"/>
      <c r="G23" s="301">
        <v>81</v>
      </c>
      <c r="H23" s="301">
        <v>88</v>
      </c>
      <c r="I23" s="301">
        <v>82</v>
      </c>
      <c r="J23" s="301">
        <v>88</v>
      </c>
      <c r="K23" s="301">
        <v>86</v>
      </c>
      <c r="L23" s="301">
        <v>100</v>
      </c>
    </row>
    <row r="24" spans="3:13" x14ac:dyDescent="0.2">
      <c r="C24" s="462" t="s">
        <v>27</v>
      </c>
      <c r="D24" s="457"/>
      <c r="E24" s="302"/>
      <c r="F24" s="302"/>
      <c r="G24" s="301">
        <v>724</v>
      </c>
      <c r="H24" s="301">
        <v>679</v>
      </c>
      <c r="I24" s="301">
        <v>777</v>
      </c>
      <c r="J24" s="301">
        <v>841</v>
      </c>
      <c r="K24" s="301">
        <v>806</v>
      </c>
      <c r="L24" s="466">
        <v>749</v>
      </c>
      <c r="M24" s="299"/>
    </row>
    <row r="25" spans="3:13" x14ac:dyDescent="0.2">
      <c r="C25" s="462" t="s">
        <v>26</v>
      </c>
      <c r="D25" s="457"/>
      <c r="E25" s="302"/>
      <c r="F25" s="302"/>
      <c r="G25" s="301">
        <v>820</v>
      </c>
      <c r="H25" s="301">
        <v>722</v>
      </c>
      <c r="I25" s="301">
        <v>778</v>
      </c>
      <c r="J25" s="301">
        <v>846</v>
      </c>
      <c r="K25" s="301">
        <v>816</v>
      </c>
      <c r="L25" s="467">
        <v>816</v>
      </c>
      <c r="M25" s="299"/>
    </row>
    <row r="26" spans="3:13" x14ac:dyDescent="0.2">
      <c r="C26" s="463" t="s">
        <v>251</v>
      </c>
      <c r="D26" s="457"/>
      <c r="E26" s="302"/>
      <c r="F26" s="302"/>
      <c r="G26" s="301">
        <v>26</v>
      </c>
      <c r="H26" s="301">
        <v>26</v>
      </c>
      <c r="I26" s="301">
        <v>26</v>
      </c>
      <c r="J26" s="301">
        <v>26</v>
      </c>
      <c r="K26" s="301">
        <v>26</v>
      </c>
      <c r="L26" s="468">
        <v>28</v>
      </c>
    </row>
    <row r="27" spans="3:13" x14ac:dyDescent="0.2">
      <c r="C27" s="463"/>
      <c r="D27" s="457"/>
      <c r="E27" s="302"/>
      <c r="F27" s="302"/>
    </row>
    <row r="28" spans="3:13" ht="15" x14ac:dyDescent="0.25">
      <c r="C28" s="456" t="s">
        <v>178</v>
      </c>
      <c r="D28" s="457"/>
      <c r="E28" s="464">
        <f t="shared" ref="E28:L28" si="9">IF(SUM(E29:E31)&lt;&gt;SUM(E32:E33),"ERROR",SUM(E29:E31))</f>
        <v>0</v>
      </c>
      <c r="F28" s="464">
        <f t="shared" si="9"/>
        <v>0</v>
      </c>
      <c r="G28" s="465">
        <f t="shared" si="9"/>
        <v>211</v>
      </c>
      <c r="H28" s="465">
        <f t="shared" si="9"/>
        <v>187</v>
      </c>
      <c r="I28" s="465">
        <f t="shared" si="9"/>
        <v>180</v>
      </c>
      <c r="J28" s="465">
        <f t="shared" si="9"/>
        <v>178</v>
      </c>
      <c r="K28" s="465">
        <f t="shared" si="9"/>
        <v>158</v>
      </c>
      <c r="L28" s="465">
        <f t="shared" si="9"/>
        <v>147</v>
      </c>
    </row>
    <row r="29" spans="3:13" x14ac:dyDescent="0.2">
      <c r="C29" s="460" t="s">
        <v>207</v>
      </c>
      <c r="D29" s="457"/>
      <c r="E29" s="302"/>
      <c r="F29" s="302"/>
      <c r="G29" s="301">
        <v>128</v>
      </c>
      <c r="H29" s="301">
        <v>96</v>
      </c>
      <c r="I29" s="301">
        <v>91</v>
      </c>
      <c r="J29" s="301">
        <v>97</v>
      </c>
      <c r="K29" s="301">
        <v>87</v>
      </c>
      <c r="L29" s="301">
        <v>67</v>
      </c>
    </row>
    <row r="30" spans="3:13" x14ac:dyDescent="0.2">
      <c r="C30" s="460" t="s">
        <v>208</v>
      </c>
      <c r="D30" s="457"/>
      <c r="E30" s="302"/>
      <c r="F30" s="302"/>
      <c r="G30" s="301">
        <v>16</v>
      </c>
      <c r="H30" s="301">
        <v>11</v>
      </c>
      <c r="I30" s="301">
        <v>17</v>
      </c>
      <c r="J30" s="301">
        <v>18</v>
      </c>
      <c r="K30" s="301">
        <v>17</v>
      </c>
      <c r="L30" s="301">
        <v>21</v>
      </c>
    </row>
    <row r="31" spans="3:13" x14ac:dyDescent="0.2">
      <c r="C31" s="460" t="s">
        <v>209</v>
      </c>
      <c r="D31" s="457"/>
      <c r="E31" s="302"/>
      <c r="F31" s="302"/>
      <c r="G31" s="301">
        <v>67</v>
      </c>
      <c r="H31" s="301">
        <v>80</v>
      </c>
      <c r="I31" s="301">
        <v>72</v>
      </c>
      <c r="J31" s="301">
        <v>63</v>
      </c>
      <c r="K31" s="301">
        <v>54</v>
      </c>
      <c r="L31" s="301">
        <v>59</v>
      </c>
    </row>
    <row r="32" spans="3:13" x14ac:dyDescent="0.2">
      <c r="C32" s="462" t="s">
        <v>27</v>
      </c>
      <c r="D32" s="457"/>
      <c r="E32" s="302"/>
      <c r="F32" s="302"/>
      <c r="G32" s="301">
        <v>106</v>
      </c>
      <c r="H32" s="301">
        <v>81</v>
      </c>
      <c r="I32" s="301">
        <v>86</v>
      </c>
      <c r="J32" s="301">
        <v>97</v>
      </c>
      <c r="K32" s="301">
        <v>82</v>
      </c>
      <c r="L32" s="170">
        <v>73</v>
      </c>
      <c r="M32" s="299"/>
    </row>
    <row r="33" spans="3:13" x14ac:dyDescent="0.2">
      <c r="C33" s="462" t="s">
        <v>26</v>
      </c>
      <c r="D33" s="457"/>
      <c r="E33" s="302"/>
      <c r="F33" s="302"/>
      <c r="G33" s="301">
        <v>105</v>
      </c>
      <c r="H33" s="301">
        <v>106</v>
      </c>
      <c r="I33" s="301">
        <v>94</v>
      </c>
      <c r="J33" s="301">
        <v>81</v>
      </c>
      <c r="K33" s="301">
        <v>76</v>
      </c>
      <c r="L33" s="429">
        <v>74</v>
      </c>
      <c r="M33" s="299"/>
    </row>
    <row r="34" spans="3:13" x14ac:dyDescent="0.2">
      <c r="C34" s="463" t="s">
        <v>251</v>
      </c>
      <c r="D34" s="457"/>
      <c r="E34" s="302"/>
      <c r="F34" s="302"/>
      <c r="G34" s="301">
        <v>6</v>
      </c>
      <c r="H34" s="301">
        <v>5</v>
      </c>
      <c r="K34" s="301">
        <v>5</v>
      </c>
      <c r="L34" s="301">
        <v>5</v>
      </c>
    </row>
    <row r="35" spans="3:13" x14ac:dyDescent="0.2">
      <c r="C35" s="463"/>
      <c r="D35" s="457"/>
      <c r="E35" s="302"/>
      <c r="F35" s="302"/>
    </row>
    <row r="36" spans="3:13" ht="15" x14ac:dyDescent="0.25">
      <c r="C36" s="456" t="s">
        <v>179</v>
      </c>
      <c r="D36" s="457"/>
      <c r="E36" s="464">
        <f t="shared" ref="E36:L36" si="10">IF(SUM(E37:E39)&lt;&gt;SUM(E40:E41),"ERROR",SUM(E37:E39))</f>
        <v>0</v>
      </c>
      <c r="F36" s="464">
        <f t="shared" si="10"/>
        <v>0</v>
      </c>
      <c r="G36" s="465">
        <f t="shared" si="10"/>
        <v>141</v>
      </c>
      <c r="H36" s="465">
        <f t="shared" si="10"/>
        <v>171</v>
      </c>
      <c r="I36" s="465">
        <f t="shared" si="10"/>
        <v>172</v>
      </c>
      <c r="J36" s="465">
        <f t="shared" si="10"/>
        <v>154</v>
      </c>
      <c r="K36" s="465">
        <f t="shared" si="10"/>
        <v>110</v>
      </c>
      <c r="L36" s="465">
        <f t="shared" si="10"/>
        <v>145</v>
      </c>
    </row>
    <row r="37" spans="3:13" x14ac:dyDescent="0.2">
      <c r="C37" s="460" t="s">
        <v>207</v>
      </c>
      <c r="D37" s="457"/>
      <c r="E37" s="302"/>
      <c r="F37" s="302"/>
      <c r="G37" s="301">
        <v>43</v>
      </c>
      <c r="H37" s="301">
        <v>71</v>
      </c>
      <c r="I37" s="301">
        <v>66</v>
      </c>
      <c r="J37" s="301">
        <v>65</v>
      </c>
      <c r="K37" s="301">
        <v>39</v>
      </c>
      <c r="L37" s="301">
        <v>72</v>
      </c>
    </row>
    <row r="38" spans="3:13" x14ac:dyDescent="0.2">
      <c r="C38" s="460" t="s">
        <v>208</v>
      </c>
      <c r="D38" s="457"/>
      <c r="E38" s="302"/>
      <c r="F38" s="302"/>
    </row>
    <row r="39" spans="3:13" x14ac:dyDescent="0.2">
      <c r="C39" s="460" t="s">
        <v>209</v>
      </c>
      <c r="D39" s="457"/>
      <c r="E39" s="302"/>
      <c r="F39" s="302"/>
      <c r="G39" s="301">
        <v>98</v>
      </c>
      <c r="H39" s="301">
        <v>100</v>
      </c>
      <c r="I39" s="301">
        <v>106</v>
      </c>
      <c r="J39" s="301">
        <v>89</v>
      </c>
      <c r="K39" s="301">
        <v>71</v>
      </c>
      <c r="L39" s="301">
        <v>73</v>
      </c>
    </row>
    <row r="40" spans="3:13" x14ac:dyDescent="0.2">
      <c r="C40" s="462" t="s">
        <v>27</v>
      </c>
      <c r="D40" s="457"/>
      <c r="E40" s="302"/>
      <c r="F40" s="302"/>
      <c r="G40" s="301">
        <v>66</v>
      </c>
      <c r="H40" s="301">
        <v>81</v>
      </c>
      <c r="I40" s="301">
        <v>69</v>
      </c>
      <c r="J40" s="301">
        <v>74</v>
      </c>
      <c r="K40" s="301">
        <v>58</v>
      </c>
      <c r="L40" s="170">
        <v>66</v>
      </c>
      <c r="M40" s="299"/>
    </row>
    <row r="41" spans="3:13" x14ac:dyDescent="0.2">
      <c r="C41" s="462" t="s">
        <v>26</v>
      </c>
      <c r="D41" s="457"/>
      <c r="E41" s="302"/>
      <c r="F41" s="302"/>
      <c r="G41" s="301">
        <v>75</v>
      </c>
      <c r="H41" s="301">
        <v>90</v>
      </c>
      <c r="I41" s="301">
        <v>103</v>
      </c>
      <c r="J41" s="301">
        <v>80</v>
      </c>
      <c r="K41" s="301">
        <v>52</v>
      </c>
      <c r="L41" s="429">
        <v>79</v>
      </c>
      <c r="M41" s="299"/>
    </row>
    <row r="42" spans="3:13" x14ac:dyDescent="0.2">
      <c r="C42" s="463" t="s">
        <v>251</v>
      </c>
      <c r="D42" s="457"/>
      <c r="E42" s="302"/>
      <c r="F42" s="302"/>
      <c r="G42" s="301">
        <v>4</v>
      </c>
      <c r="H42" s="301">
        <v>3</v>
      </c>
      <c r="K42" s="301">
        <v>4</v>
      </c>
    </row>
    <row r="43" spans="3:13" x14ac:dyDescent="0.2">
      <c r="C43" s="463"/>
      <c r="D43" s="457"/>
      <c r="E43" s="302"/>
      <c r="F43" s="302"/>
    </row>
    <row r="44" spans="3:13" ht="15" x14ac:dyDescent="0.25">
      <c r="C44" s="456" t="s">
        <v>180</v>
      </c>
      <c r="D44" s="457"/>
      <c r="E44" s="464">
        <f t="shared" ref="E44:L44" si="11">IF(SUM(E45:E47)&lt;&gt;SUM(E48:E49),"ERROR",SUM(E45:E47))</f>
        <v>0</v>
      </c>
      <c r="F44" s="464">
        <f t="shared" si="11"/>
        <v>0</v>
      </c>
      <c r="G44" s="465">
        <f t="shared" si="11"/>
        <v>19</v>
      </c>
      <c r="H44" s="465">
        <f t="shared" si="11"/>
        <v>17</v>
      </c>
      <c r="I44" s="465">
        <f t="shared" si="11"/>
        <v>9</v>
      </c>
      <c r="J44" s="465">
        <f t="shared" si="11"/>
        <v>9</v>
      </c>
      <c r="K44" s="465">
        <f t="shared" si="11"/>
        <v>5</v>
      </c>
      <c r="L44" s="465">
        <f t="shared" si="11"/>
        <v>12</v>
      </c>
    </row>
    <row r="45" spans="3:13" x14ac:dyDescent="0.2">
      <c r="C45" s="460" t="s">
        <v>207</v>
      </c>
      <c r="D45" s="457"/>
      <c r="E45" s="302"/>
      <c r="F45" s="302"/>
    </row>
    <row r="46" spans="3:13" x14ac:dyDescent="0.2">
      <c r="C46" s="460" t="s">
        <v>208</v>
      </c>
      <c r="D46" s="457"/>
      <c r="E46" s="302"/>
      <c r="F46" s="302"/>
    </row>
    <row r="47" spans="3:13" x14ac:dyDescent="0.2">
      <c r="C47" s="460" t="s">
        <v>209</v>
      </c>
      <c r="D47" s="457"/>
      <c r="E47" s="302"/>
      <c r="F47" s="302"/>
      <c r="G47" s="301">
        <v>19</v>
      </c>
      <c r="H47" s="301">
        <v>17</v>
      </c>
      <c r="I47" s="301">
        <v>9</v>
      </c>
      <c r="J47" s="301">
        <v>9</v>
      </c>
      <c r="K47" s="301">
        <v>5</v>
      </c>
      <c r="L47" s="301">
        <v>12</v>
      </c>
    </row>
    <row r="48" spans="3:13" x14ac:dyDescent="0.2">
      <c r="C48" s="462" t="s">
        <v>27</v>
      </c>
      <c r="D48" s="457"/>
      <c r="E48" s="302"/>
      <c r="F48" s="302"/>
      <c r="G48" s="301">
        <v>11</v>
      </c>
      <c r="H48" s="301">
        <v>10</v>
      </c>
      <c r="I48" s="301">
        <v>4</v>
      </c>
      <c r="J48" s="301">
        <v>5</v>
      </c>
      <c r="K48" s="301">
        <v>3</v>
      </c>
      <c r="L48" s="170">
        <v>5</v>
      </c>
      <c r="M48" s="299"/>
    </row>
    <row r="49" spans="3:13" x14ac:dyDescent="0.2">
      <c r="C49" s="462" t="s">
        <v>26</v>
      </c>
      <c r="D49" s="457"/>
      <c r="E49" s="302"/>
      <c r="F49" s="302"/>
      <c r="G49" s="301">
        <v>8</v>
      </c>
      <c r="H49" s="301">
        <v>7</v>
      </c>
      <c r="I49" s="301">
        <v>5</v>
      </c>
      <c r="J49" s="301">
        <v>4</v>
      </c>
      <c r="K49" s="301">
        <v>2</v>
      </c>
      <c r="L49" s="429">
        <v>7</v>
      </c>
      <c r="M49" s="299"/>
    </row>
    <row r="50" spans="3:13" x14ac:dyDescent="0.2">
      <c r="C50" s="463" t="s">
        <v>251</v>
      </c>
      <c r="D50" s="457"/>
      <c r="E50" s="302"/>
      <c r="F50" s="302"/>
      <c r="K50" s="301">
        <v>1</v>
      </c>
      <c r="L50" s="301">
        <v>1</v>
      </c>
    </row>
    <row r="51" spans="3:13" x14ac:dyDescent="0.2">
      <c r="C51" s="463"/>
      <c r="D51" s="457"/>
      <c r="E51" s="302"/>
      <c r="F51" s="302"/>
    </row>
    <row r="52" spans="3:13" ht="15" x14ac:dyDescent="0.25">
      <c r="C52" s="456" t="s">
        <v>181</v>
      </c>
      <c r="D52" s="457"/>
      <c r="E52" s="464">
        <f t="shared" ref="E52:L52" si="12">IF(SUM(E53:E55)&lt;&gt;SUM(E56:E57),"ERROR",SUM(E53:E55))</f>
        <v>0</v>
      </c>
      <c r="F52" s="464">
        <f t="shared" si="12"/>
        <v>0</v>
      </c>
      <c r="G52" s="465">
        <f t="shared" si="12"/>
        <v>34</v>
      </c>
      <c r="H52" s="465">
        <f t="shared" si="12"/>
        <v>9</v>
      </c>
      <c r="I52" s="465">
        <f t="shared" si="12"/>
        <v>15</v>
      </c>
      <c r="J52" s="465">
        <f t="shared" si="12"/>
        <v>14</v>
      </c>
      <c r="K52" s="465">
        <f t="shared" si="12"/>
        <v>12</v>
      </c>
      <c r="L52" s="465">
        <f t="shared" si="12"/>
        <v>7</v>
      </c>
    </row>
    <row r="53" spans="3:13" x14ac:dyDescent="0.2">
      <c r="C53" s="460" t="s">
        <v>207</v>
      </c>
      <c r="D53" s="457"/>
      <c r="E53" s="302"/>
      <c r="F53" s="302"/>
      <c r="G53" s="301">
        <v>13</v>
      </c>
    </row>
    <row r="54" spans="3:13" x14ac:dyDescent="0.2">
      <c r="C54" s="460" t="s">
        <v>208</v>
      </c>
      <c r="D54" s="457"/>
      <c r="E54" s="302"/>
      <c r="F54" s="302"/>
    </row>
    <row r="55" spans="3:13" x14ac:dyDescent="0.2">
      <c r="C55" s="460" t="s">
        <v>209</v>
      </c>
      <c r="D55" s="457"/>
      <c r="E55" s="302"/>
      <c r="F55" s="302"/>
      <c r="G55" s="301">
        <v>21</v>
      </c>
      <c r="H55" s="301">
        <v>9</v>
      </c>
      <c r="I55" s="301">
        <v>15</v>
      </c>
      <c r="J55" s="301">
        <v>14</v>
      </c>
      <c r="K55" s="301">
        <v>12</v>
      </c>
      <c r="L55" s="301">
        <v>7</v>
      </c>
    </row>
    <row r="56" spans="3:13" x14ac:dyDescent="0.2">
      <c r="C56" s="462" t="s">
        <v>27</v>
      </c>
      <c r="D56" s="457"/>
      <c r="E56" s="302"/>
      <c r="F56" s="302"/>
      <c r="G56" s="301">
        <v>14</v>
      </c>
      <c r="H56" s="301">
        <v>4</v>
      </c>
      <c r="I56" s="301">
        <v>9</v>
      </c>
      <c r="J56" s="301">
        <v>7</v>
      </c>
      <c r="K56" s="301">
        <v>6</v>
      </c>
      <c r="L56" s="170">
        <v>2</v>
      </c>
      <c r="M56" s="299"/>
    </row>
    <row r="57" spans="3:13" x14ac:dyDescent="0.2">
      <c r="C57" s="462" t="s">
        <v>26</v>
      </c>
      <c r="D57" s="457"/>
      <c r="E57" s="302"/>
      <c r="F57" s="302"/>
      <c r="G57" s="301">
        <v>20</v>
      </c>
      <c r="H57" s="301">
        <v>5</v>
      </c>
      <c r="I57" s="301">
        <v>6</v>
      </c>
      <c r="J57" s="301">
        <v>7</v>
      </c>
      <c r="K57" s="301">
        <v>6</v>
      </c>
      <c r="L57" s="429">
        <v>5</v>
      </c>
      <c r="M57" s="299"/>
    </row>
    <row r="58" spans="3:13" x14ac:dyDescent="0.2">
      <c r="C58" s="463" t="s">
        <v>251</v>
      </c>
      <c r="D58" s="457"/>
      <c r="E58" s="302"/>
      <c r="F58" s="302"/>
      <c r="G58" s="301">
        <v>2</v>
      </c>
      <c r="H58" s="301">
        <v>1</v>
      </c>
      <c r="K58" s="301">
        <v>1</v>
      </c>
      <c r="L58" s="301">
        <v>1</v>
      </c>
    </row>
    <row r="59" spans="3:13" x14ac:dyDescent="0.2">
      <c r="C59" s="463"/>
      <c r="D59" s="457"/>
      <c r="E59" s="302"/>
      <c r="F59" s="302"/>
      <c r="J59" s="302"/>
    </row>
    <row r="60" spans="3:13" ht="15" x14ac:dyDescent="0.25">
      <c r="C60" s="456" t="s">
        <v>224</v>
      </c>
      <c r="D60" s="457"/>
      <c r="E60" s="464">
        <f t="shared" ref="E60:L60" si="13">IF(SUM(E61:E63)&lt;&gt;SUM(E64:E65),"ERROR",SUM(E61:E63))</f>
        <v>0</v>
      </c>
      <c r="F60" s="464">
        <f t="shared" si="13"/>
        <v>0</v>
      </c>
      <c r="G60" s="465">
        <f t="shared" si="13"/>
        <v>69</v>
      </c>
      <c r="H60" s="465">
        <f t="shared" si="13"/>
        <v>69</v>
      </c>
      <c r="I60" s="465">
        <f t="shared" si="13"/>
        <v>63</v>
      </c>
      <c r="J60" s="465">
        <f t="shared" si="13"/>
        <v>64</v>
      </c>
      <c r="K60" s="465">
        <f t="shared" si="13"/>
        <v>59</v>
      </c>
      <c r="L60" s="465">
        <f t="shared" si="13"/>
        <v>53</v>
      </c>
    </row>
    <row r="61" spans="3:13" x14ac:dyDescent="0.2">
      <c r="C61" s="460" t="s">
        <v>207</v>
      </c>
      <c r="D61" s="457"/>
      <c r="E61" s="302"/>
      <c r="F61" s="302"/>
      <c r="G61" s="301">
        <v>43</v>
      </c>
      <c r="H61" s="301">
        <v>48</v>
      </c>
      <c r="I61" s="301">
        <v>45</v>
      </c>
      <c r="J61" s="301">
        <v>52</v>
      </c>
      <c r="K61" s="301">
        <v>37</v>
      </c>
      <c r="L61" s="301">
        <v>38</v>
      </c>
    </row>
    <row r="62" spans="3:13" x14ac:dyDescent="0.2">
      <c r="C62" s="460" t="s">
        <v>208</v>
      </c>
      <c r="D62" s="457"/>
      <c r="E62" s="302"/>
      <c r="F62" s="302"/>
      <c r="G62" s="302">
        <v>0</v>
      </c>
    </row>
    <row r="63" spans="3:13" x14ac:dyDescent="0.2">
      <c r="C63" s="460" t="s">
        <v>209</v>
      </c>
      <c r="D63" s="457"/>
      <c r="E63" s="302"/>
      <c r="F63" s="302"/>
      <c r="G63" s="301">
        <v>26</v>
      </c>
      <c r="H63" s="301">
        <v>21</v>
      </c>
      <c r="I63" s="301">
        <v>18</v>
      </c>
      <c r="J63" s="301">
        <v>12</v>
      </c>
      <c r="K63" s="301">
        <v>22</v>
      </c>
      <c r="L63" s="301">
        <v>15</v>
      </c>
    </row>
    <row r="64" spans="3:13" x14ac:dyDescent="0.2">
      <c r="C64" s="462" t="s">
        <v>27</v>
      </c>
      <c r="D64" s="457"/>
      <c r="E64" s="302"/>
      <c r="F64" s="302"/>
      <c r="G64" s="301">
        <v>23</v>
      </c>
      <c r="H64" s="301">
        <v>25</v>
      </c>
      <c r="I64" s="301">
        <v>30</v>
      </c>
      <c r="J64" s="301">
        <v>29</v>
      </c>
      <c r="K64" s="301">
        <v>24</v>
      </c>
      <c r="L64" s="170">
        <v>24</v>
      </c>
      <c r="M64" s="299"/>
    </row>
    <row r="65" spans="2:13" x14ac:dyDescent="0.2">
      <c r="C65" s="462" t="s">
        <v>26</v>
      </c>
      <c r="D65" s="457"/>
      <c r="E65" s="302"/>
      <c r="F65" s="302"/>
      <c r="G65" s="301">
        <v>46</v>
      </c>
      <c r="H65" s="301">
        <v>44</v>
      </c>
      <c r="I65" s="301">
        <v>33</v>
      </c>
      <c r="J65" s="301">
        <v>35</v>
      </c>
      <c r="K65" s="301">
        <v>35</v>
      </c>
      <c r="L65" s="429">
        <v>29</v>
      </c>
      <c r="M65" s="299"/>
    </row>
    <row r="66" spans="2:13" x14ac:dyDescent="0.2">
      <c r="C66" s="469" t="s">
        <v>251</v>
      </c>
      <c r="D66" s="469"/>
      <c r="E66" s="470"/>
      <c r="F66" s="470"/>
      <c r="G66" s="471">
        <v>4</v>
      </c>
      <c r="H66" s="471">
        <v>4</v>
      </c>
      <c r="I66" s="471"/>
      <c r="J66" s="471"/>
      <c r="K66" s="471">
        <v>4</v>
      </c>
      <c r="L66" s="471">
        <v>4</v>
      </c>
    </row>
    <row r="67" spans="2:13" x14ac:dyDescent="0.2">
      <c r="C67" s="446"/>
    </row>
    <row r="68" spans="2:13" x14ac:dyDescent="0.2">
      <c r="B68" s="423" t="s">
        <v>311</v>
      </c>
      <c r="C68" s="302"/>
      <c r="D68" s="472"/>
    </row>
    <row r="69" spans="2:13" ht="17.25" customHeight="1" x14ac:dyDescent="0.2">
      <c r="B69" s="302"/>
      <c r="C69" s="473"/>
      <c r="D69" s="473"/>
    </row>
    <row r="70" spans="2:13" ht="36" customHeight="1" x14ac:dyDescent="0.2">
      <c r="B70" s="738"/>
      <c r="C70" s="738"/>
      <c r="D70" s="738"/>
      <c r="K70" s="301" t="s">
        <v>362</v>
      </c>
    </row>
    <row r="71" spans="2:13" s="299" customFormat="1" ht="9" customHeight="1" x14ac:dyDescent="0.2">
      <c r="L71" s="170"/>
    </row>
    <row r="72" spans="2:13" x14ac:dyDescent="0.2">
      <c r="B72" s="739">
        <v>30</v>
      </c>
      <c r="C72" s="739"/>
      <c r="D72" s="739"/>
    </row>
  </sheetData>
  <mergeCells count="3">
    <mergeCell ref="C8:H8"/>
    <mergeCell ref="B70:D70"/>
    <mergeCell ref="B72:D72"/>
  </mergeCells>
  <pageMargins left="0.7" right="0.7" top="0.75" bottom="0.75" header="0.3" footer="0.3"/>
  <pageSetup scale="49" orientation="portrait" r:id="rId1"/>
  <ignoredErrors>
    <ignoredError sqref="J20" formulaRange="1"/>
  </ignoredErrors>
  <drawing r:id="rId2"/>
  <legacyDrawing r:id="rId3"/>
  <oleObjects>
    <mc:AlternateContent xmlns:mc="http://schemas.openxmlformats.org/markup-compatibility/2006">
      <mc:Choice Requires="x14">
        <oleObject progId="MSPhotoEd.3" shapeId="29697" r:id="rId4">
          <objectPr defaultSize="0" autoPict="0" r:id="rId5">
            <anchor moveWithCells="1" sizeWithCells="1">
              <from>
                <xdr:col>0</xdr:col>
                <xdr:colOff>419100</xdr:colOff>
                <xdr:row>0</xdr:row>
                <xdr:rowOff>19050</xdr:rowOff>
              </from>
              <to>
                <xdr:col>0</xdr:col>
                <xdr:colOff>523875</xdr:colOff>
                <xdr:row>0</xdr:row>
                <xdr:rowOff>57150</xdr:rowOff>
              </to>
            </anchor>
          </objectPr>
        </oleObject>
      </mc:Choice>
      <mc:Fallback>
        <oleObject progId="MSPhotoEd.3" shapeId="29697" r:id="rId4"/>
      </mc:Fallback>
    </mc:AlternateContent>
    <mc:AlternateContent xmlns:mc="http://schemas.openxmlformats.org/markup-compatibility/2006">
      <mc:Choice Requires="x14">
        <oleObject progId="MSPhotoEd.3" shapeId="29698" r:id="rId6">
          <objectPr defaultSize="0" autoPict="0" r:id="rId5">
            <anchor moveWithCells="1" sizeWithCells="1">
              <from>
                <xdr:col>1</xdr:col>
                <xdr:colOff>9525</xdr:colOff>
                <xdr:row>0</xdr:row>
                <xdr:rowOff>28575</xdr:rowOff>
              </from>
              <to>
                <xdr:col>2</xdr:col>
                <xdr:colOff>161925</xdr:colOff>
                <xdr:row>1</xdr:row>
                <xdr:rowOff>123825</xdr:rowOff>
              </to>
            </anchor>
          </objectPr>
        </oleObject>
      </mc:Choice>
      <mc:Fallback>
        <oleObject progId="MSPhotoEd.3" shapeId="29698" r:id="rId6"/>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sheetPr>
  <dimension ref="B1:Q44"/>
  <sheetViews>
    <sheetView zoomScaleNormal="100" zoomScaleSheetLayoutView="100" workbookViewId="0">
      <selection activeCell="J2" sqref="J2"/>
    </sheetView>
  </sheetViews>
  <sheetFormatPr defaultColWidth="9.140625" defaultRowHeight="14.25" x14ac:dyDescent="0.2"/>
  <cols>
    <col min="1" max="1" width="9.140625" style="301"/>
    <col min="2" max="2" width="6.85546875" style="301" customWidth="1"/>
    <col min="3" max="3" width="13.140625" style="301" customWidth="1"/>
    <col min="4" max="7" width="11.42578125" style="301" customWidth="1"/>
    <col min="8" max="16384" width="9.140625" style="301"/>
  </cols>
  <sheetData>
    <row r="1" spans="2:17" s="300" customFormat="1" ht="12.75" x14ac:dyDescent="0.2"/>
    <row r="2" spans="2:17" s="300" customFormat="1" ht="15" x14ac:dyDescent="0.25">
      <c r="J2" s="403" t="s">
        <v>374</v>
      </c>
    </row>
    <row r="3" spans="2:17" s="300" customFormat="1" ht="9" customHeight="1" x14ac:dyDescent="0.2"/>
    <row r="4" spans="2:17" s="299" customFormat="1" ht="12.75" x14ac:dyDescent="0.2">
      <c r="Q4" s="170"/>
    </row>
    <row r="5" spans="2:17" s="299" customFormat="1" ht="15.75" x14ac:dyDescent="0.25">
      <c r="B5" s="736" t="s">
        <v>372</v>
      </c>
      <c r="C5" s="736"/>
      <c r="D5" s="736"/>
      <c r="E5" s="736"/>
      <c r="F5" s="736"/>
      <c r="G5" s="736"/>
      <c r="H5" s="736"/>
      <c r="I5" s="736"/>
      <c r="J5" s="736"/>
      <c r="K5" s="736"/>
      <c r="L5" s="449"/>
      <c r="M5" s="449"/>
      <c r="N5" s="449"/>
      <c r="Q5" s="170"/>
    </row>
    <row r="6" spans="2:17" s="299" customFormat="1" ht="15.75" x14ac:dyDescent="0.25">
      <c r="D6" s="404"/>
      <c r="E6" s="404"/>
      <c r="F6" s="404"/>
      <c r="G6" s="404"/>
      <c r="H6" s="404"/>
      <c r="I6" s="404"/>
      <c r="J6" s="404"/>
      <c r="K6" s="404"/>
      <c r="L6" s="404"/>
      <c r="M6" s="404"/>
      <c r="N6" s="404"/>
      <c r="Q6" s="170"/>
    </row>
    <row r="7" spans="2:17" s="300" customFormat="1" ht="12.75" customHeight="1" x14ac:dyDescent="0.2"/>
    <row r="8" spans="2:17" ht="24.75" customHeight="1" x14ac:dyDescent="0.2">
      <c r="B8" s="474" t="s">
        <v>264</v>
      </c>
      <c r="C8" s="474" t="s">
        <v>365</v>
      </c>
    </row>
    <row r="9" spans="2:17" x14ac:dyDescent="0.2">
      <c r="C9" s="741" t="s">
        <v>252</v>
      </c>
      <c r="D9" s="740" t="s">
        <v>92</v>
      </c>
      <c r="E9" s="740"/>
      <c r="F9" s="740"/>
      <c r="G9" s="740"/>
    </row>
    <row r="10" spans="2:17" ht="38.25" x14ac:dyDescent="0.2">
      <c r="C10" s="742"/>
      <c r="D10" s="475" t="s">
        <v>262</v>
      </c>
      <c r="E10" s="475" t="s">
        <v>261</v>
      </c>
      <c r="F10" s="475" t="s">
        <v>260</v>
      </c>
      <c r="G10" s="476" t="s">
        <v>263</v>
      </c>
    </row>
    <row r="11" spans="2:17" x14ac:dyDescent="0.2">
      <c r="C11" s="477" t="s">
        <v>259</v>
      </c>
      <c r="D11" s="478">
        <f>SUM(D21,D31)</f>
        <v>55</v>
      </c>
      <c r="E11" s="478">
        <f t="shared" ref="E11:F11" si="0">SUM(E21,E31)</f>
        <v>2</v>
      </c>
      <c r="F11" s="478">
        <f t="shared" si="0"/>
        <v>0</v>
      </c>
      <c r="G11" s="479">
        <f t="shared" ref="G11:G17" si="1">SUM(D11:F11)</f>
        <v>57</v>
      </c>
    </row>
    <row r="12" spans="2:17" x14ac:dyDescent="0.2">
      <c r="C12" s="477" t="s">
        <v>258</v>
      </c>
      <c r="D12" s="478">
        <f>SUM(D32,D22)</f>
        <v>184</v>
      </c>
      <c r="E12" s="478">
        <f t="shared" ref="E12:F12" si="2">SUM(E32,E22)</f>
        <v>21</v>
      </c>
      <c r="F12" s="478">
        <f t="shared" si="2"/>
        <v>0</v>
      </c>
      <c r="G12" s="479">
        <f t="shared" si="1"/>
        <v>205</v>
      </c>
    </row>
    <row r="13" spans="2:17" x14ac:dyDescent="0.2">
      <c r="C13" s="477" t="s">
        <v>257</v>
      </c>
      <c r="D13" s="478">
        <f t="shared" ref="D13:F13" si="3">SUM(D23,D33)</f>
        <v>329</v>
      </c>
      <c r="E13" s="478">
        <f t="shared" si="3"/>
        <v>58</v>
      </c>
      <c r="F13" s="478">
        <f t="shared" si="3"/>
        <v>0</v>
      </c>
      <c r="G13" s="479">
        <f t="shared" si="1"/>
        <v>387</v>
      </c>
    </row>
    <row r="14" spans="2:17" x14ac:dyDescent="0.2">
      <c r="C14" s="477" t="s">
        <v>253</v>
      </c>
      <c r="D14" s="478">
        <f t="shared" ref="D14:F14" si="4">SUM(D34,D24)</f>
        <v>375</v>
      </c>
      <c r="E14" s="478">
        <f t="shared" si="4"/>
        <v>130</v>
      </c>
      <c r="F14" s="478">
        <f t="shared" si="4"/>
        <v>0</v>
      </c>
      <c r="G14" s="479">
        <f t="shared" si="1"/>
        <v>505</v>
      </c>
    </row>
    <row r="15" spans="2:17" x14ac:dyDescent="0.2">
      <c r="C15" s="477" t="s">
        <v>254</v>
      </c>
      <c r="D15" s="478">
        <f t="shared" ref="D15:F15" si="5">SUM(D25,D35)</f>
        <v>250</v>
      </c>
      <c r="E15" s="478">
        <f t="shared" si="5"/>
        <v>221</v>
      </c>
      <c r="F15" s="478">
        <f t="shared" si="5"/>
        <v>225</v>
      </c>
      <c r="G15" s="479">
        <f t="shared" si="1"/>
        <v>696</v>
      </c>
    </row>
    <row r="16" spans="2:17" x14ac:dyDescent="0.2">
      <c r="C16" s="477" t="s">
        <v>256</v>
      </c>
      <c r="D16" s="478">
        <f t="shared" ref="D16:F16" si="6">SUM(D36,D26)</f>
        <v>0</v>
      </c>
      <c r="E16" s="478">
        <f t="shared" si="6"/>
        <v>38</v>
      </c>
      <c r="F16" s="478">
        <f t="shared" si="6"/>
        <v>41</v>
      </c>
      <c r="G16" s="479">
        <f t="shared" si="1"/>
        <v>79</v>
      </c>
    </row>
    <row r="17" spans="3:7" x14ac:dyDescent="0.2">
      <c r="C17" s="480" t="s">
        <v>25</v>
      </c>
      <c r="D17" s="478">
        <f>SUM(D11:D16)</f>
        <v>1193</v>
      </c>
      <c r="E17" s="478">
        <f>SUM(E11:E16)</f>
        <v>470</v>
      </c>
      <c r="F17" s="478">
        <f>SUM(F11:F16)</f>
        <v>266</v>
      </c>
      <c r="G17" s="479">
        <f t="shared" si="1"/>
        <v>1929</v>
      </c>
    </row>
    <row r="18" spans="3:7" x14ac:dyDescent="0.2">
      <c r="C18" s="463"/>
      <c r="D18" s="463"/>
      <c r="E18" s="463"/>
      <c r="F18" s="463"/>
      <c r="G18" s="463"/>
    </row>
    <row r="19" spans="3:7" x14ac:dyDescent="0.2">
      <c r="C19" s="741" t="s">
        <v>252</v>
      </c>
      <c r="D19" s="740" t="s">
        <v>27</v>
      </c>
      <c r="E19" s="740"/>
      <c r="F19" s="740"/>
      <c r="G19" s="740"/>
    </row>
    <row r="20" spans="3:7" ht="38.25" x14ac:dyDescent="0.2">
      <c r="C20" s="742"/>
      <c r="D20" s="475" t="s">
        <v>262</v>
      </c>
      <c r="E20" s="475" t="s">
        <v>261</v>
      </c>
      <c r="F20" s="475" t="s">
        <v>260</v>
      </c>
      <c r="G20" s="476" t="s">
        <v>263</v>
      </c>
    </row>
    <row r="21" spans="3:7" x14ac:dyDescent="0.2">
      <c r="C21" s="477" t="s">
        <v>259</v>
      </c>
      <c r="D21" s="478">
        <v>29</v>
      </c>
      <c r="E21" s="478">
        <v>1</v>
      </c>
      <c r="F21" s="481"/>
      <c r="G21" s="479">
        <f t="shared" ref="G21:G27" si="7">SUM(D21:F21)</f>
        <v>30</v>
      </c>
    </row>
    <row r="22" spans="3:7" x14ac:dyDescent="0.2">
      <c r="C22" s="477" t="s">
        <v>258</v>
      </c>
      <c r="D22" s="478">
        <v>86</v>
      </c>
      <c r="E22" s="478">
        <v>9</v>
      </c>
      <c r="F22" s="481"/>
      <c r="G22" s="479">
        <f t="shared" si="7"/>
        <v>95</v>
      </c>
    </row>
    <row r="23" spans="3:7" x14ac:dyDescent="0.2">
      <c r="C23" s="477" t="s">
        <v>257</v>
      </c>
      <c r="D23" s="478">
        <v>171</v>
      </c>
      <c r="E23" s="478">
        <v>34</v>
      </c>
      <c r="F23" s="481"/>
      <c r="G23" s="479">
        <f t="shared" si="7"/>
        <v>205</v>
      </c>
    </row>
    <row r="24" spans="3:7" x14ac:dyDescent="0.2">
      <c r="C24" s="477" t="s">
        <v>253</v>
      </c>
      <c r="D24" s="478">
        <v>190</v>
      </c>
      <c r="E24" s="478">
        <v>75</v>
      </c>
      <c r="F24" s="478"/>
      <c r="G24" s="479">
        <f t="shared" si="7"/>
        <v>265</v>
      </c>
    </row>
    <row r="25" spans="3:7" x14ac:dyDescent="0.2">
      <c r="C25" s="477" t="s">
        <v>254</v>
      </c>
      <c r="D25" s="478">
        <v>127</v>
      </c>
      <c r="E25" s="478">
        <v>114</v>
      </c>
      <c r="F25" s="478">
        <v>111</v>
      </c>
      <c r="G25" s="479">
        <f t="shared" si="7"/>
        <v>352</v>
      </c>
    </row>
    <row r="26" spans="3:7" x14ac:dyDescent="0.2">
      <c r="C26" s="477" t="s">
        <v>256</v>
      </c>
      <c r="D26" s="478"/>
      <c r="E26" s="478">
        <v>21</v>
      </c>
      <c r="F26" s="478">
        <v>18</v>
      </c>
      <c r="G26" s="479">
        <f t="shared" si="7"/>
        <v>39</v>
      </c>
    </row>
    <row r="27" spans="3:7" x14ac:dyDescent="0.2">
      <c r="C27" s="480" t="s">
        <v>25</v>
      </c>
      <c r="D27" s="479">
        <f>SUM(D21:D26)</f>
        <v>603</v>
      </c>
      <c r="E27" s="479">
        <f t="shared" ref="E27:F27" si="8">SUM(E21:E26)</f>
        <v>254</v>
      </c>
      <c r="F27" s="479">
        <f t="shared" si="8"/>
        <v>129</v>
      </c>
      <c r="G27" s="479">
        <f t="shared" si="7"/>
        <v>986</v>
      </c>
    </row>
    <row r="28" spans="3:7" x14ac:dyDescent="0.2">
      <c r="C28" s="457"/>
      <c r="D28" s="457"/>
      <c r="E28" s="457"/>
      <c r="F28" s="457"/>
      <c r="G28" s="457"/>
    </row>
    <row r="29" spans="3:7" x14ac:dyDescent="0.2">
      <c r="C29" s="741" t="s">
        <v>252</v>
      </c>
      <c r="D29" s="740" t="s">
        <v>26</v>
      </c>
      <c r="E29" s="740"/>
      <c r="F29" s="740"/>
      <c r="G29" s="740"/>
    </row>
    <row r="30" spans="3:7" ht="38.25" x14ac:dyDescent="0.2">
      <c r="C30" s="742"/>
      <c r="D30" s="475" t="s">
        <v>262</v>
      </c>
      <c r="E30" s="475" t="s">
        <v>261</v>
      </c>
      <c r="F30" s="475" t="s">
        <v>260</v>
      </c>
      <c r="G30" s="476" t="s">
        <v>263</v>
      </c>
    </row>
    <row r="31" spans="3:7" x14ac:dyDescent="0.2">
      <c r="C31" s="477" t="s">
        <v>259</v>
      </c>
      <c r="D31" s="478">
        <v>26</v>
      </c>
      <c r="E31" s="478">
        <v>1</v>
      </c>
      <c r="F31" s="481"/>
      <c r="G31" s="479">
        <f t="shared" ref="G31:G37" si="9">SUM(D31:F31)</f>
        <v>27</v>
      </c>
    </row>
    <row r="32" spans="3:7" x14ac:dyDescent="0.2">
      <c r="C32" s="477" t="s">
        <v>258</v>
      </c>
      <c r="D32" s="478">
        <v>98</v>
      </c>
      <c r="E32" s="478">
        <v>12</v>
      </c>
      <c r="F32" s="481"/>
      <c r="G32" s="479">
        <f t="shared" si="9"/>
        <v>110</v>
      </c>
    </row>
    <row r="33" spans="2:7" x14ac:dyDescent="0.2">
      <c r="C33" s="477" t="s">
        <v>257</v>
      </c>
      <c r="D33" s="478">
        <v>158</v>
      </c>
      <c r="E33" s="478">
        <v>24</v>
      </c>
      <c r="F33" s="481"/>
      <c r="G33" s="479">
        <f t="shared" si="9"/>
        <v>182</v>
      </c>
    </row>
    <row r="34" spans="2:7" x14ac:dyDescent="0.2">
      <c r="C34" s="477" t="s">
        <v>253</v>
      </c>
      <c r="D34" s="478">
        <v>185</v>
      </c>
      <c r="E34" s="478">
        <v>55</v>
      </c>
      <c r="F34" s="478"/>
      <c r="G34" s="479">
        <f t="shared" si="9"/>
        <v>240</v>
      </c>
    </row>
    <row r="35" spans="2:7" x14ac:dyDescent="0.2">
      <c r="C35" s="477" t="s">
        <v>254</v>
      </c>
      <c r="D35" s="478">
        <v>123</v>
      </c>
      <c r="E35" s="478">
        <v>107</v>
      </c>
      <c r="F35" s="478">
        <v>114</v>
      </c>
      <c r="G35" s="479">
        <f t="shared" si="9"/>
        <v>344</v>
      </c>
    </row>
    <row r="36" spans="2:7" x14ac:dyDescent="0.2">
      <c r="C36" s="477" t="s">
        <v>256</v>
      </c>
      <c r="D36" s="478"/>
      <c r="E36" s="478">
        <v>17</v>
      </c>
      <c r="F36" s="478">
        <v>23</v>
      </c>
      <c r="G36" s="479">
        <f t="shared" si="9"/>
        <v>40</v>
      </c>
    </row>
    <row r="37" spans="2:7" x14ac:dyDescent="0.2">
      <c r="C37" s="480" t="s">
        <v>25</v>
      </c>
      <c r="D37" s="479">
        <f>SUM(D31:D36)</f>
        <v>590</v>
      </c>
      <c r="E37" s="479">
        <f>SUM(E31:E36)</f>
        <v>216</v>
      </c>
      <c r="F37" s="479">
        <f>SUM(F31:F36)</f>
        <v>137</v>
      </c>
      <c r="G37" s="479">
        <f t="shared" si="9"/>
        <v>943</v>
      </c>
    </row>
    <row r="38" spans="2:7" x14ac:dyDescent="0.2">
      <c r="C38" s="457"/>
      <c r="D38" s="457"/>
      <c r="E38" s="457"/>
      <c r="F38" s="457"/>
      <c r="G38" s="457"/>
    </row>
    <row r="39" spans="2:7" ht="15" x14ac:dyDescent="0.25">
      <c r="B39" s="301" t="s">
        <v>354</v>
      </c>
    </row>
    <row r="40" spans="2:7" x14ac:dyDescent="0.2">
      <c r="B40" s="423"/>
      <c r="C40" s="472"/>
    </row>
    <row r="41" spans="2:7" ht="12.75" customHeight="1" x14ac:dyDescent="0.2">
      <c r="B41" s="473"/>
      <c r="C41" s="473"/>
    </row>
    <row r="42" spans="2:7" ht="12.75" customHeight="1" x14ac:dyDescent="0.2">
      <c r="B42" s="473"/>
      <c r="C42" s="473"/>
    </row>
    <row r="43" spans="2:7" s="299" customFormat="1" ht="9" customHeight="1" x14ac:dyDescent="0.2"/>
    <row r="44" spans="2:7" x14ac:dyDescent="0.2">
      <c r="B44" s="739">
        <v>30</v>
      </c>
      <c r="C44" s="739"/>
    </row>
  </sheetData>
  <mergeCells count="8">
    <mergeCell ref="B44:C44"/>
    <mergeCell ref="D9:G9"/>
    <mergeCell ref="C9:C10"/>
    <mergeCell ref="B5:K5"/>
    <mergeCell ref="C19:C20"/>
    <mergeCell ref="D19:G19"/>
    <mergeCell ref="C29:C30"/>
    <mergeCell ref="D29:G29"/>
  </mergeCells>
  <pageMargins left="0.7" right="0.7" top="0.75" bottom="0.75" header="0.3" footer="0.3"/>
  <pageSetup scale="70" orientation="portrait" r:id="rId1"/>
  <colBreaks count="1" manualBreakCount="1">
    <brk id="13" max="44" man="1"/>
  </colBreaks>
  <ignoredErrors>
    <ignoredError sqref="D12:F14 D15:F15" formula="1"/>
  </ignoredErrors>
  <drawing r:id="rId2"/>
  <legacyDrawing r:id="rId3"/>
  <oleObjects>
    <mc:AlternateContent xmlns:mc="http://schemas.openxmlformats.org/markup-compatibility/2006">
      <mc:Choice Requires="x14">
        <oleObject progId="MSPhotoEd.3" shapeId="34817" r:id="rId4">
          <objectPr defaultSize="0" autoPict="0" r:id="rId5">
            <anchor moveWithCells="1" sizeWithCells="1">
              <from>
                <xdr:col>0</xdr:col>
                <xdr:colOff>552450</xdr:colOff>
                <xdr:row>0</xdr:row>
                <xdr:rowOff>0</xdr:rowOff>
              </from>
              <to>
                <xdr:col>2</xdr:col>
                <xdr:colOff>314325</xdr:colOff>
                <xdr:row>2</xdr:row>
                <xdr:rowOff>0</xdr:rowOff>
              </to>
            </anchor>
          </objectPr>
        </oleObject>
      </mc:Choice>
      <mc:Fallback>
        <oleObject progId="MSPhotoEd.3" shapeId="34817" r:id="rId4"/>
      </mc:Fallback>
    </mc:AlternateContent>
    <mc:AlternateContent xmlns:mc="http://schemas.openxmlformats.org/markup-compatibility/2006">
      <mc:Choice Requires="x14">
        <oleObject progId="MSPhotoEd.3" shapeId="34819" r:id="rId6">
          <objectPr defaultSize="0" autoPict="0" r:id="rId5">
            <anchor moveWithCells="1" sizeWithCells="1">
              <from>
                <xdr:col>1</xdr:col>
                <xdr:colOff>0</xdr:colOff>
                <xdr:row>0</xdr:row>
                <xdr:rowOff>0</xdr:rowOff>
              </from>
              <to>
                <xdr:col>2</xdr:col>
                <xdr:colOff>485775</xdr:colOff>
                <xdr:row>2</xdr:row>
                <xdr:rowOff>0</xdr:rowOff>
              </to>
            </anchor>
          </objectPr>
        </oleObject>
      </mc:Choice>
      <mc:Fallback>
        <oleObject progId="MSPhotoEd.3" shapeId="34819"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59999389629810485"/>
    <pageSetUpPr fitToPage="1"/>
  </sheetPr>
  <dimension ref="B2:BH175"/>
  <sheetViews>
    <sheetView zoomScale="85" zoomScaleNormal="85" zoomScaleSheetLayoutView="100" workbookViewId="0">
      <selection activeCell="N5" sqref="N5"/>
    </sheetView>
  </sheetViews>
  <sheetFormatPr defaultRowHeight="12.75" x14ac:dyDescent="0.2"/>
  <cols>
    <col min="1" max="1" width="9.140625" style="29"/>
    <col min="2" max="2" width="8.140625" style="29" customWidth="1"/>
    <col min="3" max="3" width="9.42578125" style="29" customWidth="1"/>
    <col min="4" max="4" width="1.7109375" style="29" customWidth="1"/>
    <col min="5" max="5" width="15.28515625" style="29" customWidth="1"/>
    <col min="6" max="7" width="9.28515625" style="29" bestFit="1" customWidth="1"/>
    <col min="8" max="8" width="10.5703125" style="29" customWidth="1"/>
    <col min="9" max="9" width="9.28515625" style="482" bestFit="1" customWidth="1"/>
    <col min="10" max="10" width="11.7109375" style="29" customWidth="1"/>
    <col min="11" max="11" width="1.7109375" style="29" customWidth="1"/>
    <col min="12" max="13" width="9.140625" style="29"/>
    <col min="14" max="14" width="9.28515625" style="29" bestFit="1" customWidth="1"/>
    <col min="15" max="16384" width="9.140625" style="29"/>
  </cols>
  <sheetData>
    <row r="2" spans="2:16" ht="15" x14ac:dyDescent="0.25">
      <c r="J2" s="403" t="s">
        <v>374</v>
      </c>
    </row>
    <row r="4" spans="2:16" x14ac:dyDescent="0.2">
      <c r="I4" s="29"/>
      <c r="P4" s="170"/>
    </row>
    <row r="5" spans="2:16" ht="15.75" x14ac:dyDescent="0.25">
      <c r="B5" s="736" t="s">
        <v>370</v>
      </c>
      <c r="C5" s="736"/>
      <c r="D5" s="736"/>
      <c r="E5" s="736"/>
      <c r="F5" s="736"/>
      <c r="G5" s="736"/>
      <c r="H5" s="736"/>
      <c r="I5" s="736"/>
      <c r="J5" s="736"/>
      <c r="K5" s="736"/>
      <c r="L5" s="736"/>
      <c r="M5" s="736"/>
      <c r="P5" s="170"/>
    </row>
    <row r="6" spans="2:16" ht="15.75" x14ac:dyDescent="0.25">
      <c r="D6" s="404"/>
      <c r="E6" s="404"/>
      <c r="F6" s="404"/>
      <c r="G6" s="404"/>
      <c r="H6" s="404"/>
      <c r="I6" s="404"/>
      <c r="J6" s="404"/>
      <c r="K6" s="404"/>
      <c r="L6" s="404"/>
      <c r="M6" s="404"/>
      <c r="P6" s="170"/>
    </row>
    <row r="7" spans="2:16" ht="12.75" customHeight="1" x14ac:dyDescent="0.2"/>
    <row r="8" spans="2:16" s="299" customFormat="1" ht="15" x14ac:dyDescent="0.25">
      <c r="B8" s="483" t="s">
        <v>231</v>
      </c>
      <c r="C8" s="743" t="s">
        <v>373</v>
      </c>
      <c r="D8" s="743"/>
      <c r="E8" s="743"/>
      <c r="F8" s="743"/>
      <c r="G8" s="743"/>
      <c r="H8" s="743"/>
      <c r="I8" s="743"/>
      <c r="J8" s="743"/>
      <c r="K8" s="743"/>
      <c r="L8" s="743"/>
      <c r="M8" s="743"/>
    </row>
    <row r="9" spans="2:16" ht="11.25" customHeight="1" x14ac:dyDescent="0.2"/>
    <row r="10" spans="2:16" ht="13.5" customHeight="1" x14ac:dyDescent="0.2">
      <c r="K10" s="484" t="s">
        <v>277</v>
      </c>
    </row>
    <row r="11" spans="2:16" ht="14.25" x14ac:dyDescent="0.2">
      <c r="E11" s="485"/>
      <c r="F11" s="56" t="s">
        <v>225</v>
      </c>
      <c r="G11" s="486" t="s">
        <v>2</v>
      </c>
      <c r="H11" s="56" t="s">
        <v>245</v>
      </c>
      <c r="I11" s="56" t="s">
        <v>4</v>
      </c>
      <c r="J11" s="487" t="s">
        <v>226</v>
      </c>
      <c r="K11" s="485"/>
    </row>
    <row r="12" spans="2:16" hidden="1" x14ac:dyDescent="0.2">
      <c r="C12" s="65">
        <v>2006</v>
      </c>
      <c r="D12" s="65"/>
      <c r="E12" s="170" t="s">
        <v>5</v>
      </c>
      <c r="F12" s="488">
        <v>41</v>
      </c>
      <c r="G12" s="489">
        <v>2274</v>
      </c>
      <c r="H12" s="489">
        <v>2119</v>
      </c>
      <c r="I12" s="490">
        <f>SUM(F12:H12)</f>
        <v>4434</v>
      </c>
      <c r="J12" s="489">
        <v>18</v>
      </c>
      <c r="K12" s="50"/>
      <c r="N12" s="491"/>
      <c r="P12" s="492"/>
    </row>
    <row r="13" spans="2:16" hidden="1" x14ac:dyDescent="0.2">
      <c r="C13" s="50"/>
      <c r="D13" s="50"/>
      <c r="E13" s="170" t="s">
        <v>6</v>
      </c>
      <c r="F13" s="488">
        <v>292</v>
      </c>
      <c r="G13" s="489">
        <v>1187</v>
      </c>
      <c r="H13" s="489">
        <v>973</v>
      </c>
      <c r="I13" s="490">
        <f>SUM(F13:H13)</f>
        <v>2452</v>
      </c>
      <c r="J13" s="489">
        <v>11</v>
      </c>
      <c r="K13" s="50"/>
      <c r="N13" s="491"/>
      <c r="P13" s="492"/>
    </row>
    <row r="14" spans="2:16" hidden="1" x14ac:dyDescent="0.2">
      <c r="C14" s="50"/>
      <c r="D14" s="50"/>
      <c r="E14" s="482" t="s">
        <v>7</v>
      </c>
      <c r="F14" s="464">
        <f>IF(SUM(F12:F13)&lt;&gt;SUM(F15:F16),"ERROR",SUM(F15:F16))</f>
        <v>333</v>
      </c>
      <c r="G14" s="464">
        <f>IF(SUM(G12:G13)&lt;&gt;SUM(G15:G16),"ERROR",SUM(G15:G16))</f>
        <v>3461</v>
      </c>
      <c r="H14" s="464">
        <f>IF(SUM(H12:H13)&lt;&gt;SUM(H15:H16),"ERROR",SUM(H15:H16))</f>
        <v>3092</v>
      </c>
      <c r="I14" s="464">
        <f>IF(SUM(I12:I13)&lt;&gt;SUM(I15:I16),"ERROR",SUM(I15:I16))</f>
        <v>6886</v>
      </c>
      <c r="J14" s="493">
        <f>SUM(J12:J13)</f>
        <v>29</v>
      </c>
      <c r="K14" s="50"/>
      <c r="N14" s="491"/>
      <c r="P14" s="492"/>
    </row>
    <row r="15" spans="2:16" hidden="1" x14ac:dyDescent="0.2">
      <c r="C15" s="50"/>
      <c r="D15" s="50"/>
      <c r="E15" s="170" t="s">
        <v>27</v>
      </c>
      <c r="F15" s="488">
        <v>171</v>
      </c>
      <c r="G15" s="489">
        <v>1670</v>
      </c>
      <c r="H15" s="489">
        <v>1489</v>
      </c>
      <c r="I15" s="490">
        <v>3556</v>
      </c>
      <c r="J15" s="488"/>
      <c r="K15" s="50"/>
      <c r="N15" s="491"/>
      <c r="P15" s="492"/>
    </row>
    <row r="16" spans="2:16" ht="14.25" hidden="1" x14ac:dyDescent="0.2">
      <c r="B16" s="446"/>
      <c r="C16" s="50"/>
      <c r="D16" s="50"/>
      <c r="E16" s="494" t="s">
        <v>26</v>
      </c>
      <c r="F16" s="488">
        <v>162</v>
      </c>
      <c r="G16" s="489">
        <v>1791</v>
      </c>
      <c r="H16" s="489">
        <v>1603</v>
      </c>
      <c r="I16" s="490">
        <v>3330</v>
      </c>
      <c r="J16" s="488"/>
      <c r="K16" s="50"/>
      <c r="N16" s="491"/>
      <c r="P16" s="492"/>
    </row>
    <row r="17" spans="2:16" ht="12.75" hidden="1" customHeight="1" x14ac:dyDescent="0.2">
      <c r="E17" s="494" t="s">
        <v>249</v>
      </c>
      <c r="F17" s="495">
        <f>F15/F16</f>
        <v>1.0555555555555556</v>
      </c>
      <c r="G17" s="495">
        <f>G15/G16</f>
        <v>0.93243997766610831</v>
      </c>
      <c r="H17" s="495">
        <f>H15/H16</f>
        <v>0.9288833437305053</v>
      </c>
      <c r="I17" s="496">
        <f>I15/I16</f>
        <v>1.0678678678678679</v>
      </c>
      <c r="J17" s="488"/>
      <c r="K17" s="50"/>
      <c r="N17" s="491"/>
      <c r="P17" s="492"/>
    </row>
    <row r="18" spans="2:16" ht="12.75" hidden="1" customHeight="1" x14ac:dyDescent="0.2">
      <c r="E18" s="494"/>
      <c r="F18" s="497"/>
      <c r="G18" s="497"/>
      <c r="H18" s="497"/>
      <c r="I18" s="498"/>
      <c r="J18" s="488"/>
      <c r="K18" s="50"/>
      <c r="N18" s="491"/>
      <c r="P18" s="492"/>
    </row>
    <row r="19" spans="2:16" hidden="1" x14ac:dyDescent="0.2">
      <c r="C19" s="65">
        <v>2007</v>
      </c>
      <c r="D19" s="65"/>
      <c r="E19" s="170" t="s">
        <v>5</v>
      </c>
      <c r="F19" s="488">
        <v>42</v>
      </c>
      <c r="G19" s="489">
        <v>2350</v>
      </c>
      <c r="H19" s="489">
        <v>2245</v>
      </c>
      <c r="I19" s="490">
        <f>SUM(F19:H19)</f>
        <v>4637</v>
      </c>
      <c r="J19" s="489">
        <v>17</v>
      </c>
      <c r="K19" s="499"/>
      <c r="N19" s="491"/>
      <c r="P19" s="492"/>
    </row>
    <row r="20" spans="2:16" hidden="1" x14ac:dyDescent="0.2">
      <c r="B20" s="499"/>
      <c r="C20" s="50"/>
      <c r="D20" s="50"/>
      <c r="E20" s="170" t="s">
        <v>6</v>
      </c>
      <c r="F20" s="488">
        <v>363</v>
      </c>
      <c r="G20" s="489">
        <v>1379</v>
      </c>
      <c r="H20" s="489">
        <v>950</v>
      </c>
      <c r="I20" s="490">
        <f>SUM(F20:H20)</f>
        <v>2692</v>
      </c>
      <c r="J20" s="489">
        <v>10</v>
      </c>
      <c r="K20" s="499"/>
      <c r="N20" s="491"/>
      <c r="P20" s="492"/>
    </row>
    <row r="21" spans="2:16" hidden="1" x14ac:dyDescent="0.2">
      <c r="C21" s="50"/>
      <c r="D21" s="50"/>
      <c r="E21" s="482" t="s">
        <v>7</v>
      </c>
      <c r="F21" s="464">
        <f>IF(SUM(F19:F20)&lt;&gt;SUM(F22:F23),"ERROR",SUM(F22:F23))</f>
        <v>405</v>
      </c>
      <c r="G21" s="464">
        <f>IF(SUM(G19:G20)&lt;&gt;SUM(G22:G23),"ERROR",SUM(G22:G23))</f>
        <v>3729</v>
      </c>
      <c r="H21" s="464">
        <f>IF(SUM(H19:H20)&lt;&gt;SUM(H22:H23),"ERROR",SUM(H22:H23))</f>
        <v>3195</v>
      </c>
      <c r="I21" s="464">
        <f>IF(SUM(I19:I20)&lt;&gt;SUM(I22:I23),"ERROR",SUM(I22:I23))</f>
        <v>7329</v>
      </c>
      <c r="J21" s="490">
        <f>SUM(J19:J20)</f>
        <v>27</v>
      </c>
      <c r="N21" s="171"/>
      <c r="P21" s="492"/>
    </row>
    <row r="22" spans="2:16" hidden="1" x14ac:dyDescent="0.2">
      <c r="C22" s="50"/>
      <c r="D22" s="50"/>
      <c r="E22" s="170" t="s">
        <v>27</v>
      </c>
      <c r="F22" s="488">
        <v>208</v>
      </c>
      <c r="G22" s="489">
        <v>1779</v>
      </c>
      <c r="H22" s="489">
        <v>1590</v>
      </c>
      <c r="I22" s="490">
        <v>3752</v>
      </c>
      <c r="J22" s="488"/>
      <c r="K22" s="500"/>
      <c r="L22" s="500"/>
      <c r="N22" s="491"/>
      <c r="P22" s="492"/>
    </row>
    <row r="23" spans="2:16" ht="14.25" hidden="1" customHeight="1" x14ac:dyDescent="0.2">
      <c r="C23" s="50"/>
      <c r="D23" s="50"/>
      <c r="E23" s="494" t="s">
        <v>26</v>
      </c>
      <c r="F23" s="488">
        <v>197</v>
      </c>
      <c r="G23" s="489">
        <v>1950</v>
      </c>
      <c r="H23" s="489">
        <v>1605</v>
      </c>
      <c r="I23" s="490">
        <v>3577</v>
      </c>
      <c r="J23" s="488"/>
      <c r="K23" s="50"/>
      <c r="N23" s="491"/>
      <c r="P23" s="492"/>
    </row>
    <row r="24" spans="2:16" ht="12.75" hidden="1" customHeight="1" x14ac:dyDescent="0.2">
      <c r="C24" s="50"/>
      <c r="D24" s="50"/>
      <c r="E24" s="494" t="s">
        <v>249</v>
      </c>
      <c r="F24" s="501">
        <f>F22/F23</f>
        <v>1.0558375634517767</v>
      </c>
      <c r="G24" s="501">
        <f>G22/G23</f>
        <v>0.91230769230769226</v>
      </c>
      <c r="H24" s="501">
        <f>H22/H23</f>
        <v>0.99065420560747663</v>
      </c>
      <c r="I24" s="496">
        <f>I22/I23</f>
        <v>1.0489236790606653</v>
      </c>
      <c r="J24" s="488"/>
      <c r="K24" s="50"/>
      <c r="N24" s="491"/>
      <c r="P24" s="492"/>
    </row>
    <row r="25" spans="2:16" ht="12.75" customHeight="1" x14ac:dyDescent="0.2">
      <c r="C25" s="50"/>
      <c r="D25" s="50"/>
      <c r="E25" s="494"/>
      <c r="F25" s="488"/>
      <c r="G25" s="489"/>
      <c r="H25" s="489"/>
      <c r="I25" s="490"/>
      <c r="J25" s="488"/>
      <c r="K25" s="50"/>
      <c r="N25" s="491"/>
      <c r="P25" s="492"/>
    </row>
    <row r="26" spans="2:16" ht="14.25" hidden="1" x14ac:dyDescent="0.2">
      <c r="C26" s="65">
        <v>2008</v>
      </c>
      <c r="D26" s="446"/>
      <c r="E26" s="170" t="s">
        <v>5</v>
      </c>
      <c r="F26" s="488">
        <v>34</v>
      </c>
      <c r="G26" s="489">
        <v>2283</v>
      </c>
      <c r="H26" s="489">
        <v>2262</v>
      </c>
      <c r="I26" s="490">
        <f>SUM(F26:H26)</f>
        <v>4579</v>
      </c>
      <c r="J26" s="489">
        <v>16</v>
      </c>
      <c r="K26" s="50"/>
      <c r="N26" s="491"/>
      <c r="P26" s="492"/>
    </row>
    <row r="27" spans="2:16" hidden="1" x14ac:dyDescent="0.2">
      <c r="C27" s="50"/>
      <c r="D27" s="50"/>
      <c r="E27" s="170" t="s">
        <v>6</v>
      </c>
      <c r="F27" s="488">
        <v>347</v>
      </c>
      <c r="G27" s="489">
        <v>1455</v>
      </c>
      <c r="H27" s="489">
        <v>1131</v>
      </c>
      <c r="I27" s="490">
        <f>SUM(F27:H27)</f>
        <v>2933</v>
      </c>
      <c r="J27" s="489">
        <v>10</v>
      </c>
      <c r="K27" s="50"/>
      <c r="N27" s="491"/>
      <c r="P27" s="492"/>
    </row>
    <row r="28" spans="2:16" s="482" customFormat="1" hidden="1" x14ac:dyDescent="0.2">
      <c r="C28" s="65"/>
      <c r="D28" s="65"/>
      <c r="E28" s="482" t="s">
        <v>7</v>
      </c>
      <c r="F28" s="464">
        <f>IF(SUM(F26:F27)&lt;&gt;SUM(F29:F30),"ERROR",SUM(F29:F30))</f>
        <v>381</v>
      </c>
      <c r="G28" s="464">
        <f>IF(SUM(G26:G27)&lt;&gt;SUM(G29:G30),"ERROR",SUM(G29:G30))</f>
        <v>3738</v>
      </c>
      <c r="H28" s="464">
        <f>IF(SUM(H26:H27)&lt;&gt;SUM(H29:H30),"ERROR",SUM(H29:H30))</f>
        <v>3393</v>
      </c>
      <c r="I28" s="464">
        <f>IF(SUM(I26:I27)&lt;&gt;SUM(I29:I30),"ERROR",SUM(I29:I30))</f>
        <v>7512</v>
      </c>
      <c r="J28" s="490">
        <f>SUM(J26:J27)</f>
        <v>26</v>
      </c>
      <c r="K28" s="65"/>
      <c r="N28" s="93"/>
      <c r="P28" s="502"/>
    </row>
    <row r="29" spans="2:16" hidden="1" x14ac:dyDescent="0.2">
      <c r="C29" s="50"/>
      <c r="D29" s="50"/>
      <c r="E29" s="170" t="s">
        <v>27</v>
      </c>
      <c r="F29" s="488">
        <v>173</v>
      </c>
      <c r="G29" s="489">
        <v>1839</v>
      </c>
      <c r="H29" s="489">
        <v>1693</v>
      </c>
      <c r="I29" s="490">
        <v>3705</v>
      </c>
      <c r="J29" s="488"/>
      <c r="K29" s="50"/>
      <c r="L29" s="503"/>
      <c r="N29" s="491"/>
      <c r="P29" s="492"/>
    </row>
    <row r="30" spans="2:16" hidden="1" x14ac:dyDescent="0.2">
      <c r="C30" s="50"/>
      <c r="D30" s="50"/>
      <c r="E30" s="494" t="s">
        <v>26</v>
      </c>
      <c r="F30" s="488">
        <v>208</v>
      </c>
      <c r="G30" s="489">
        <v>1899</v>
      </c>
      <c r="H30" s="489">
        <v>1700</v>
      </c>
      <c r="I30" s="490">
        <v>3807</v>
      </c>
      <c r="J30" s="488"/>
      <c r="K30" s="50"/>
      <c r="L30" s="503"/>
      <c r="N30" s="491"/>
      <c r="P30" s="492"/>
    </row>
    <row r="31" spans="2:16" ht="12.75" hidden="1" customHeight="1" x14ac:dyDescent="0.2">
      <c r="C31" s="50"/>
      <c r="D31" s="50"/>
      <c r="E31" s="494" t="s">
        <v>249</v>
      </c>
      <c r="F31" s="501">
        <f>F29/F30</f>
        <v>0.83173076923076927</v>
      </c>
      <c r="G31" s="501">
        <f>G29/G30</f>
        <v>0.96840442338072674</v>
      </c>
      <c r="H31" s="501">
        <f>H29/H30</f>
        <v>0.99588235294117644</v>
      </c>
      <c r="I31" s="496">
        <f>I29/I30</f>
        <v>0.97320724980299445</v>
      </c>
      <c r="J31" s="488"/>
      <c r="K31" s="50"/>
      <c r="N31" s="491"/>
      <c r="P31" s="492"/>
    </row>
    <row r="32" spans="2:16" ht="12.75" hidden="1" customHeight="1" x14ac:dyDescent="0.2">
      <c r="C32" s="50"/>
      <c r="D32" s="50"/>
      <c r="E32" s="494"/>
      <c r="F32" s="488"/>
      <c r="G32" s="489"/>
      <c r="H32" s="489"/>
      <c r="I32" s="490"/>
      <c r="J32" s="488"/>
      <c r="K32" s="50"/>
      <c r="N32" s="491"/>
      <c r="P32" s="492"/>
    </row>
    <row r="33" spans="3:16" hidden="1" x14ac:dyDescent="0.2">
      <c r="C33" s="65">
        <v>2009</v>
      </c>
      <c r="D33" s="50"/>
      <c r="E33" s="170" t="s">
        <v>5</v>
      </c>
      <c r="F33" s="488">
        <v>51</v>
      </c>
      <c r="G33" s="489">
        <v>2378</v>
      </c>
      <c r="H33" s="489">
        <v>2283</v>
      </c>
      <c r="I33" s="490">
        <v>4712</v>
      </c>
      <c r="J33" s="488">
        <v>16</v>
      </c>
      <c r="K33" s="50"/>
      <c r="N33" s="491"/>
      <c r="P33" s="492"/>
    </row>
    <row r="34" spans="3:16" hidden="1" x14ac:dyDescent="0.2">
      <c r="C34" s="50"/>
      <c r="D34" s="50"/>
      <c r="E34" s="170" t="s">
        <v>6</v>
      </c>
      <c r="F34" s="488">
        <v>357</v>
      </c>
      <c r="G34" s="489">
        <v>1481</v>
      </c>
      <c r="H34" s="489">
        <v>1138</v>
      </c>
      <c r="I34" s="490">
        <v>2976</v>
      </c>
      <c r="J34" s="488">
        <v>10</v>
      </c>
      <c r="K34" s="50"/>
      <c r="N34" s="491"/>
      <c r="P34" s="492"/>
    </row>
    <row r="35" spans="3:16" s="482" customFormat="1" hidden="1" x14ac:dyDescent="0.2">
      <c r="C35" s="65"/>
      <c r="D35" s="65"/>
      <c r="E35" s="482" t="s">
        <v>7</v>
      </c>
      <c r="F35" s="493">
        <f>IF(SUM(F33:F34)&lt;&gt;SUM(F36:F37),"ERROR",SUM(F36:F37))</f>
        <v>408</v>
      </c>
      <c r="G35" s="490">
        <f>IF(SUM(G33:G34)&lt;&gt;SUM(G36:G37),"ERROR",SUM(G36:G37))</f>
        <v>3859</v>
      </c>
      <c r="H35" s="490">
        <f>IF(SUM(H33:H34)&lt;&gt;SUM(H36:H37),"ERROR",SUM(H36:H37))</f>
        <v>3421</v>
      </c>
      <c r="I35" s="490">
        <f>IF(SUM(I33:I34)&lt;&gt;SUM(I36:I37),"ERROR",SUM(I36:I37))</f>
        <v>7688</v>
      </c>
      <c r="J35" s="493">
        <f>SUM(J33:J34)</f>
        <v>26</v>
      </c>
      <c r="K35" s="65"/>
      <c r="N35" s="93"/>
      <c r="P35" s="502"/>
    </row>
    <row r="36" spans="3:16" hidden="1" x14ac:dyDescent="0.2">
      <c r="C36" s="50"/>
      <c r="D36" s="50"/>
      <c r="E36" s="170" t="s">
        <v>27</v>
      </c>
      <c r="F36" s="488">
        <v>203</v>
      </c>
      <c r="G36" s="489">
        <v>1902</v>
      </c>
      <c r="H36" s="489">
        <v>1771</v>
      </c>
      <c r="I36" s="490">
        <f>SUM(F36:H36)</f>
        <v>3876</v>
      </c>
      <c r="J36" s="488"/>
      <c r="K36" s="50"/>
      <c r="N36" s="491"/>
      <c r="P36" s="492"/>
    </row>
    <row r="37" spans="3:16" hidden="1" x14ac:dyDescent="0.2">
      <c r="C37" s="50"/>
      <c r="D37" s="50"/>
      <c r="E37" s="494" t="s">
        <v>26</v>
      </c>
      <c r="F37" s="488">
        <v>205</v>
      </c>
      <c r="G37" s="489">
        <v>1957</v>
      </c>
      <c r="H37" s="489">
        <v>1650</v>
      </c>
      <c r="I37" s="490">
        <f>SUM(F37:H37)</f>
        <v>3812</v>
      </c>
      <c r="J37" s="488"/>
      <c r="K37" s="50"/>
      <c r="N37" s="491"/>
      <c r="P37" s="492"/>
    </row>
    <row r="38" spans="3:16" hidden="1" x14ac:dyDescent="0.2">
      <c r="C38" s="50"/>
      <c r="D38" s="50"/>
      <c r="E38" s="504" t="s">
        <v>249</v>
      </c>
      <c r="F38" s="505">
        <f>F36/F37</f>
        <v>0.99024390243902438</v>
      </c>
      <c r="G38" s="505">
        <f>G36/G37</f>
        <v>0.97189575881451196</v>
      </c>
      <c r="H38" s="505">
        <f>H36/H37</f>
        <v>1.0733333333333333</v>
      </c>
      <c r="I38" s="506">
        <f>I36/I37</f>
        <v>1.0167890870933893</v>
      </c>
      <c r="J38" s="507"/>
      <c r="K38" s="50"/>
      <c r="N38" s="491"/>
      <c r="P38" s="492"/>
    </row>
    <row r="39" spans="3:16" hidden="1" x14ac:dyDescent="0.2">
      <c r="C39" s="50"/>
      <c r="D39" s="50"/>
      <c r="E39" s="494"/>
      <c r="F39" s="488"/>
      <c r="G39" s="489"/>
      <c r="H39" s="489"/>
      <c r="I39" s="490"/>
      <c r="J39" s="488"/>
      <c r="K39" s="50"/>
      <c r="N39" s="491"/>
      <c r="P39" s="492"/>
    </row>
    <row r="40" spans="3:16" hidden="1" x14ac:dyDescent="0.2">
      <c r="C40" s="65">
        <v>2010</v>
      </c>
      <c r="D40" s="50"/>
      <c r="E40" s="170" t="s">
        <v>5</v>
      </c>
      <c r="F40" s="488">
        <v>87</v>
      </c>
      <c r="G40" s="489">
        <v>2466</v>
      </c>
      <c r="H40" s="489">
        <v>2309</v>
      </c>
      <c r="I40" s="490">
        <f>SUM(F40:H40)</f>
        <v>4862</v>
      </c>
      <c r="J40" s="508">
        <v>16</v>
      </c>
      <c r="K40" s="50"/>
      <c r="N40" s="491"/>
      <c r="P40" s="492"/>
    </row>
    <row r="41" spans="3:16" hidden="1" x14ac:dyDescent="0.2">
      <c r="C41" s="50"/>
      <c r="D41" s="50"/>
      <c r="E41" s="170" t="s">
        <v>6</v>
      </c>
      <c r="F41" s="488">
        <v>300</v>
      </c>
      <c r="G41" s="489">
        <v>1477</v>
      </c>
      <c r="H41" s="489">
        <v>1104</v>
      </c>
      <c r="I41" s="490">
        <f>SUM(F41:H41)</f>
        <v>2881</v>
      </c>
      <c r="J41" s="488">
        <v>10</v>
      </c>
      <c r="K41" s="50"/>
      <c r="N41" s="491"/>
      <c r="P41" s="492"/>
    </row>
    <row r="42" spans="3:16" s="482" customFormat="1" hidden="1" x14ac:dyDescent="0.2">
      <c r="C42" s="65"/>
      <c r="D42" s="65"/>
      <c r="E42" s="482" t="s">
        <v>7</v>
      </c>
      <c r="F42" s="493">
        <v>379</v>
      </c>
      <c r="G42" s="490">
        <v>3897</v>
      </c>
      <c r="H42" s="490">
        <v>3391</v>
      </c>
      <c r="I42" s="490">
        <f>SUM(F42:H42)</f>
        <v>7667</v>
      </c>
      <c r="J42" s="509">
        <v>25</v>
      </c>
      <c r="K42" s="65"/>
      <c r="N42" s="93"/>
      <c r="P42" s="502"/>
    </row>
    <row r="43" spans="3:16" hidden="1" x14ac:dyDescent="0.2">
      <c r="C43" s="50"/>
      <c r="D43" s="50"/>
      <c r="E43" s="170" t="s">
        <v>27</v>
      </c>
      <c r="F43" s="488">
        <v>175</v>
      </c>
      <c r="G43" s="489">
        <v>1995</v>
      </c>
      <c r="H43" s="489">
        <v>1686</v>
      </c>
      <c r="I43" s="490">
        <f>SUM(F43:H43)</f>
        <v>3856</v>
      </c>
      <c r="J43" s="488"/>
      <c r="K43" s="50"/>
      <c r="N43" s="491"/>
      <c r="P43" s="492"/>
    </row>
    <row r="44" spans="3:16" hidden="1" x14ac:dyDescent="0.2">
      <c r="C44" s="50"/>
      <c r="D44" s="50"/>
      <c r="E44" s="494" t="s">
        <v>26</v>
      </c>
      <c r="F44" s="488">
        <v>204</v>
      </c>
      <c r="G44" s="489">
        <v>1902</v>
      </c>
      <c r="H44" s="489">
        <v>1705</v>
      </c>
      <c r="I44" s="490">
        <f>SUM(F44:H44)</f>
        <v>3811</v>
      </c>
      <c r="J44" s="488"/>
      <c r="K44" s="50"/>
      <c r="N44" s="491"/>
      <c r="P44" s="492"/>
    </row>
    <row r="45" spans="3:16" hidden="1" x14ac:dyDescent="0.2">
      <c r="C45" s="50"/>
      <c r="D45" s="50"/>
      <c r="E45" s="504" t="s">
        <v>249</v>
      </c>
      <c r="F45" s="505">
        <f>F43/F44</f>
        <v>0.85784313725490191</v>
      </c>
      <c r="G45" s="505">
        <f>G43/G44</f>
        <v>1.0488958990536277</v>
      </c>
      <c r="H45" s="505">
        <f>H43/H44</f>
        <v>0.98885630498533728</v>
      </c>
      <c r="I45" s="506">
        <f>I43/I44</f>
        <v>1.0118079244292837</v>
      </c>
      <c r="J45" s="507"/>
      <c r="K45" s="50"/>
      <c r="N45" s="491"/>
    </row>
    <row r="46" spans="3:16" hidden="1" x14ac:dyDescent="0.2">
      <c r="C46" s="50"/>
      <c r="D46" s="50"/>
      <c r="E46" s="494"/>
      <c r="F46" s="488"/>
      <c r="G46" s="489"/>
      <c r="H46" s="489"/>
      <c r="I46" s="490"/>
      <c r="J46" s="488"/>
      <c r="K46" s="50"/>
      <c r="N46" s="491"/>
    </row>
    <row r="47" spans="3:16" x14ac:dyDescent="0.2">
      <c r="C47" s="65">
        <v>2011</v>
      </c>
      <c r="D47" s="50"/>
      <c r="E47" s="170" t="s">
        <v>5</v>
      </c>
      <c r="F47" s="510">
        <v>0</v>
      </c>
      <c r="G47" s="489">
        <v>2509</v>
      </c>
      <c r="H47" s="489">
        <v>2381</v>
      </c>
      <c r="I47" s="490">
        <f>SUM(F47:H47)</f>
        <v>4890</v>
      </c>
      <c r="J47" s="488">
        <v>17</v>
      </c>
      <c r="K47" s="50"/>
      <c r="N47" s="491"/>
    </row>
    <row r="48" spans="3:16" x14ac:dyDescent="0.2">
      <c r="C48" s="50"/>
      <c r="D48" s="50"/>
      <c r="E48" s="170" t="s">
        <v>6</v>
      </c>
      <c r="F48" s="510">
        <v>0</v>
      </c>
      <c r="G48" s="489">
        <v>1655</v>
      </c>
      <c r="H48" s="489">
        <v>1101</v>
      </c>
      <c r="I48" s="490">
        <f>SUM(F48:H48)</f>
        <v>2756</v>
      </c>
      <c r="J48" s="488">
        <v>11</v>
      </c>
      <c r="K48" s="50"/>
      <c r="N48" s="491"/>
    </row>
    <row r="49" spans="3:14" s="482" customFormat="1" x14ac:dyDescent="0.2">
      <c r="C49" s="65"/>
      <c r="D49" s="65"/>
      <c r="E49" s="482" t="s">
        <v>7</v>
      </c>
      <c r="F49" s="511">
        <v>0</v>
      </c>
      <c r="G49" s="490">
        <f>IF(SUM(G47:G48)&lt;&gt;SUM(G50:G51),"ERROR",SUM(G47:G48))</f>
        <v>4164</v>
      </c>
      <c r="H49" s="490">
        <f>IF(SUM(H47:H48)&lt;&gt;SUM(H50:H51),"ERROR",SUM(H47:H48))</f>
        <v>3482</v>
      </c>
      <c r="I49" s="490">
        <f>IF(SUM(I47:I48)&lt;&gt;SUM(I50:I51),"ERROR",SUM(I47:I48))</f>
        <v>7646</v>
      </c>
      <c r="J49" s="493">
        <v>28</v>
      </c>
      <c r="K49" s="65"/>
      <c r="L49" s="512"/>
      <c r="N49" s="93"/>
    </row>
    <row r="50" spans="3:14" x14ac:dyDescent="0.2">
      <c r="C50" s="50"/>
      <c r="D50" s="50"/>
      <c r="E50" s="170" t="s">
        <v>27</v>
      </c>
      <c r="F50" s="510">
        <v>0</v>
      </c>
      <c r="G50" s="488">
        <v>2081</v>
      </c>
      <c r="H50" s="489">
        <v>1755</v>
      </c>
      <c r="I50" s="490">
        <f>SUM(F50:H50)</f>
        <v>3836</v>
      </c>
      <c r="J50" s="488"/>
      <c r="K50" s="50"/>
      <c r="N50" s="491"/>
    </row>
    <row r="51" spans="3:14" x14ac:dyDescent="0.2">
      <c r="C51" s="50"/>
      <c r="D51" s="50"/>
      <c r="E51" s="494" t="s">
        <v>26</v>
      </c>
      <c r="F51" s="428">
        <v>0</v>
      </c>
      <c r="G51" s="488">
        <v>2083</v>
      </c>
      <c r="H51" s="489">
        <v>1727</v>
      </c>
      <c r="I51" s="490">
        <f>SUM(F51:H51)</f>
        <v>3810</v>
      </c>
      <c r="J51" s="488"/>
      <c r="K51" s="50"/>
      <c r="N51" s="491"/>
    </row>
    <row r="52" spans="3:14" x14ac:dyDescent="0.2">
      <c r="C52" s="50"/>
      <c r="D52" s="50"/>
      <c r="E52" s="504" t="s">
        <v>249</v>
      </c>
      <c r="F52" s="513"/>
      <c r="G52" s="505">
        <f>G50/G51</f>
        <v>0.99903984637542009</v>
      </c>
      <c r="H52" s="505">
        <f>H50/H51</f>
        <v>1.0162130862767806</v>
      </c>
      <c r="I52" s="506">
        <f>I50/I51</f>
        <v>1.0068241469816273</v>
      </c>
      <c r="J52" s="507"/>
      <c r="K52" s="50"/>
      <c r="N52" s="491"/>
    </row>
    <row r="53" spans="3:14" x14ac:dyDescent="0.2">
      <c r="C53" s="50"/>
      <c r="D53" s="50"/>
      <c r="E53" s="494"/>
      <c r="F53" s="428"/>
      <c r="G53" s="488"/>
      <c r="H53" s="489"/>
      <c r="I53" s="490"/>
      <c r="J53" s="488"/>
      <c r="K53" s="50"/>
      <c r="N53" s="491"/>
    </row>
    <row r="54" spans="3:14" x14ac:dyDescent="0.2">
      <c r="C54" s="65">
        <v>2012</v>
      </c>
      <c r="D54" s="50"/>
      <c r="E54" s="494" t="s">
        <v>5</v>
      </c>
      <c r="F54" s="428">
        <v>0</v>
      </c>
      <c r="G54" s="489">
        <v>2426</v>
      </c>
      <c r="H54" s="489">
        <v>2530</v>
      </c>
      <c r="I54" s="490">
        <f>SUM(G54:H54)</f>
        <v>4956</v>
      </c>
      <c r="J54" s="488">
        <v>17</v>
      </c>
      <c r="K54" s="50"/>
      <c r="N54" s="491"/>
    </row>
    <row r="55" spans="3:14" x14ac:dyDescent="0.2">
      <c r="C55" s="50"/>
      <c r="D55" s="50"/>
      <c r="E55" s="170" t="s">
        <v>6</v>
      </c>
      <c r="F55" s="510">
        <v>0</v>
      </c>
      <c r="G55" s="489">
        <v>1537</v>
      </c>
      <c r="H55" s="489">
        <v>1250</v>
      </c>
      <c r="I55" s="490">
        <f>SUM(G55:H55)</f>
        <v>2787</v>
      </c>
      <c r="J55" s="488">
        <v>10</v>
      </c>
      <c r="K55" s="50"/>
      <c r="N55" s="491"/>
    </row>
    <row r="56" spans="3:14" s="482" customFormat="1" x14ac:dyDescent="0.2">
      <c r="C56" s="65"/>
      <c r="D56" s="65"/>
      <c r="E56" s="482" t="s">
        <v>7</v>
      </c>
      <c r="F56" s="511">
        <v>0</v>
      </c>
      <c r="G56" s="490">
        <f>IF(SUM(G54:G55)&lt;&gt;SUM(G57:G58),"ERROR",SUM(G54:G55))</f>
        <v>3963</v>
      </c>
      <c r="H56" s="490">
        <f>IF(SUM(H54:H55)&lt;&gt;SUM(H57:H58),"ERROR",SUM(H54:H55))</f>
        <v>3780</v>
      </c>
      <c r="I56" s="490">
        <f>IF(SUM(I54:I55)&lt;&gt;SUM(I57:I58),"ERROR",SUM(I54:I55))</f>
        <v>7743</v>
      </c>
      <c r="J56" s="493">
        <f>SUM(J54:J55)</f>
        <v>27</v>
      </c>
      <c r="K56" s="65"/>
      <c r="N56" s="93"/>
    </row>
    <row r="57" spans="3:14" x14ac:dyDescent="0.2">
      <c r="C57" s="50"/>
      <c r="D57" s="50"/>
      <c r="E57" s="170" t="s">
        <v>27</v>
      </c>
      <c r="F57" s="510">
        <v>0</v>
      </c>
      <c r="G57" s="488">
        <v>1968</v>
      </c>
      <c r="H57" s="489">
        <v>1899</v>
      </c>
      <c r="I57" s="490">
        <f>SUM(G57:H57)</f>
        <v>3867</v>
      </c>
      <c r="J57" s="488"/>
      <c r="K57" s="50"/>
      <c r="N57" s="491"/>
    </row>
    <row r="58" spans="3:14" x14ac:dyDescent="0.2">
      <c r="C58" s="50"/>
      <c r="D58" s="50"/>
      <c r="E58" s="494" t="s">
        <v>26</v>
      </c>
      <c r="F58" s="428">
        <v>0</v>
      </c>
      <c r="G58" s="488">
        <v>1995</v>
      </c>
      <c r="H58" s="489">
        <v>1881</v>
      </c>
      <c r="I58" s="490">
        <f>SUM(G58:H58)</f>
        <v>3876</v>
      </c>
      <c r="J58" s="488"/>
      <c r="K58" s="50"/>
      <c r="N58" s="491"/>
    </row>
    <row r="59" spans="3:14" x14ac:dyDescent="0.2">
      <c r="C59" s="50"/>
      <c r="D59" s="50"/>
      <c r="E59" s="504" t="s">
        <v>249</v>
      </c>
      <c r="F59" s="507"/>
      <c r="G59" s="514">
        <f>G57/G58</f>
        <v>0.98646616541353382</v>
      </c>
      <c r="H59" s="514">
        <f>H57/H58</f>
        <v>1.0095693779904307</v>
      </c>
      <c r="I59" s="515">
        <f>I57/I58</f>
        <v>0.99767801857585137</v>
      </c>
      <c r="J59" s="507"/>
      <c r="K59" s="50"/>
      <c r="N59" s="491"/>
    </row>
    <row r="60" spans="3:14" x14ac:dyDescent="0.2">
      <c r="C60" s="50"/>
      <c r="D60" s="50"/>
      <c r="E60" s="494"/>
      <c r="F60" s="488"/>
      <c r="G60" s="516"/>
      <c r="H60" s="516"/>
      <c r="I60" s="517"/>
      <c r="J60" s="488"/>
      <c r="K60" s="50"/>
      <c r="N60" s="491"/>
    </row>
    <row r="61" spans="3:14" x14ac:dyDescent="0.2">
      <c r="C61" s="65">
        <v>2013</v>
      </c>
      <c r="D61" s="50"/>
      <c r="E61" s="494" t="s">
        <v>5</v>
      </c>
      <c r="F61" s="428">
        <v>0</v>
      </c>
      <c r="G61" s="489">
        <v>2370</v>
      </c>
      <c r="H61" s="489">
        <v>2466</v>
      </c>
      <c r="I61" s="490">
        <f>SUM(G61:H61)</f>
        <v>4836</v>
      </c>
      <c r="J61" s="488">
        <v>17</v>
      </c>
      <c r="K61" s="50"/>
      <c r="N61" s="491"/>
    </row>
    <row r="62" spans="3:14" x14ac:dyDescent="0.2">
      <c r="C62" s="50"/>
      <c r="D62" s="50"/>
      <c r="E62" s="170" t="s">
        <v>6</v>
      </c>
      <c r="F62" s="510">
        <v>0</v>
      </c>
      <c r="G62" s="489">
        <v>1611</v>
      </c>
      <c r="H62" s="489">
        <v>1275</v>
      </c>
      <c r="I62" s="490">
        <f>SUM(G62:H62)</f>
        <v>2886</v>
      </c>
      <c r="J62" s="488">
        <v>11</v>
      </c>
      <c r="K62" s="50"/>
      <c r="N62" s="491"/>
    </row>
    <row r="63" spans="3:14" x14ac:dyDescent="0.2">
      <c r="C63" s="65"/>
      <c r="D63" s="65"/>
      <c r="E63" s="482" t="s">
        <v>7</v>
      </c>
      <c r="F63" s="511">
        <v>0</v>
      </c>
      <c r="G63" s="490">
        <f>SUM(G61,G62)</f>
        <v>3981</v>
      </c>
      <c r="H63" s="490">
        <f>SUM(H61,H62)</f>
        <v>3741</v>
      </c>
      <c r="I63" s="490">
        <f>SUM(I61,I62)</f>
        <v>7722</v>
      </c>
      <c r="J63" s="493">
        <f>SUM(J61:J62)</f>
        <v>28</v>
      </c>
      <c r="K63" s="50"/>
      <c r="N63" s="491"/>
    </row>
    <row r="64" spans="3:14" x14ac:dyDescent="0.2">
      <c r="C64" s="50"/>
      <c r="D64" s="50"/>
      <c r="E64" s="170" t="s">
        <v>27</v>
      </c>
      <c r="F64" s="510">
        <v>0</v>
      </c>
      <c r="G64" s="488">
        <v>1964</v>
      </c>
      <c r="H64" s="489">
        <v>1874</v>
      </c>
      <c r="I64" s="490">
        <f>SUM(G64:H64)</f>
        <v>3838</v>
      </c>
      <c r="J64" s="488"/>
      <c r="K64" s="50"/>
      <c r="N64" s="491"/>
    </row>
    <row r="65" spans="3:14" x14ac:dyDescent="0.2">
      <c r="C65" s="50"/>
      <c r="D65" s="50"/>
      <c r="E65" s="494" t="s">
        <v>26</v>
      </c>
      <c r="F65" s="428">
        <v>0</v>
      </c>
      <c r="G65" s="488">
        <v>2017</v>
      </c>
      <c r="H65" s="489">
        <v>1867</v>
      </c>
      <c r="I65" s="490">
        <f>SUM(G65:H65)</f>
        <v>3884</v>
      </c>
      <c r="J65" s="488"/>
      <c r="K65" s="50"/>
      <c r="N65" s="491"/>
    </row>
    <row r="66" spans="3:14" x14ac:dyDescent="0.2">
      <c r="C66" s="50"/>
      <c r="D66" s="50"/>
      <c r="E66" s="504" t="s">
        <v>249</v>
      </c>
      <c r="F66" s="507"/>
      <c r="G66" s="514">
        <f>G64/G65</f>
        <v>0.97372335151214673</v>
      </c>
      <c r="H66" s="514">
        <f>H64/H65</f>
        <v>1.0037493304767007</v>
      </c>
      <c r="I66" s="514">
        <f>I64/I65</f>
        <v>0.98815653964984551</v>
      </c>
      <c r="J66" s="507"/>
      <c r="K66" s="50"/>
      <c r="N66" s="491"/>
    </row>
    <row r="67" spans="3:14" x14ac:dyDescent="0.2">
      <c r="C67" s="50"/>
      <c r="D67" s="50"/>
      <c r="E67" s="494"/>
      <c r="F67" s="488"/>
      <c r="G67" s="516"/>
      <c r="H67" s="516"/>
      <c r="I67" s="516"/>
      <c r="J67" s="488"/>
      <c r="K67" s="50"/>
      <c r="N67" s="491"/>
    </row>
    <row r="68" spans="3:14" x14ac:dyDescent="0.2">
      <c r="C68" s="65">
        <v>2014</v>
      </c>
      <c r="D68" s="50"/>
      <c r="E68" s="494" t="s">
        <v>5</v>
      </c>
      <c r="F68" s="428">
        <v>0</v>
      </c>
      <c r="G68" s="489">
        <v>2432</v>
      </c>
      <c r="H68" s="489">
        <v>2307</v>
      </c>
      <c r="I68" s="490">
        <f>SUM(G68:H68)</f>
        <v>4739</v>
      </c>
      <c r="J68" s="488">
        <v>17</v>
      </c>
      <c r="K68" s="50"/>
      <c r="N68" s="491"/>
    </row>
    <row r="69" spans="3:14" x14ac:dyDescent="0.2">
      <c r="C69" s="50"/>
      <c r="D69" s="50"/>
      <c r="E69" s="170" t="s">
        <v>6</v>
      </c>
      <c r="F69" s="510">
        <v>0</v>
      </c>
      <c r="G69" s="489">
        <v>1703</v>
      </c>
      <c r="H69" s="489">
        <v>1364</v>
      </c>
      <c r="I69" s="490">
        <f>SUM(G69:H69)</f>
        <v>3067</v>
      </c>
      <c r="J69" s="488">
        <v>11</v>
      </c>
      <c r="K69" s="50"/>
      <c r="N69" s="491"/>
    </row>
    <row r="70" spans="3:14" x14ac:dyDescent="0.2">
      <c r="C70" s="65"/>
      <c r="D70" s="65"/>
      <c r="E70" s="482" t="s">
        <v>7</v>
      </c>
      <c r="F70" s="511">
        <v>0</v>
      </c>
      <c r="G70" s="490">
        <f>IF(SUM(G68:G69)&lt;&gt;SUM(G71:G72),"ERROR",SUM(G68:G69))</f>
        <v>4135</v>
      </c>
      <c r="H70" s="490">
        <f>IF(SUM(H68:H69)&lt;&gt;SUM(H71:H72),"ERROR",SUM(H68:H69))</f>
        <v>3671</v>
      </c>
      <c r="I70" s="490">
        <f>IF(SUM(I68:I69)&lt;&gt;SUM(I71:I72),"ERROR",SUM(I68:I69))</f>
        <v>7806</v>
      </c>
      <c r="J70" s="493"/>
      <c r="K70" s="50"/>
      <c r="N70" s="491"/>
    </row>
    <row r="71" spans="3:14" x14ac:dyDescent="0.2">
      <c r="C71" s="50"/>
      <c r="D71" s="50"/>
      <c r="E71" s="170" t="s">
        <v>27</v>
      </c>
      <c r="F71" s="510">
        <v>0</v>
      </c>
      <c r="G71" s="488">
        <v>2033</v>
      </c>
      <c r="H71" s="489">
        <v>1840</v>
      </c>
      <c r="I71" s="490">
        <f>SUM(G71:H71)</f>
        <v>3873</v>
      </c>
      <c r="J71" s="488"/>
      <c r="K71" s="50"/>
      <c r="N71" s="491"/>
    </row>
    <row r="72" spans="3:14" x14ac:dyDescent="0.2">
      <c r="C72" s="50"/>
      <c r="D72" s="50"/>
      <c r="E72" s="494" t="s">
        <v>26</v>
      </c>
      <c r="F72" s="428">
        <v>0</v>
      </c>
      <c r="G72" s="488">
        <v>2102</v>
      </c>
      <c r="H72" s="489">
        <v>1831</v>
      </c>
      <c r="I72" s="490">
        <f>SUM(G72:H72)</f>
        <v>3933</v>
      </c>
      <c r="J72" s="488"/>
      <c r="K72" s="50"/>
      <c r="N72" s="491"/>
    </row>
    <row r="73" spans="3:14" x14ac:dyDescent="0.2">
      <c r="C73" s="50"/>
      <c r="D73" s="50"/>
      <c r="E73" s="504" t="s">
        <v>249</v>
      </c>
      <c r="F73" s="507"/>
      <c r="G73" s="514">
        <f>G71/G72</f>
        <v>0.96717411988582302</v>
      </c>
      <c r="H73" s="514">
        <f>H71/H72</f>
        <v>1.0049153468050245</v>
      </c>
      <c r="I73" s="514">
        <f>I71/I72</f>
        <v>0.98474446987032804</v>
      </c>
      <c r="J73" s="507"/>
      <c r="K73" s="50"/>
      <c r="N73" s="491"/>
    </row>
    <row r="74" spans="3:14" x14ac:dyDescent="0.2">
      <c r="K74" s="50"/>
      <c r="N74" s="491"/>
    </row>
    <row r="75" spans="3:14" x14ac:dyDescent="0.2">
      <c r="C75" s="65">
        <v>2015</v>
      </c>
      <c r="D75" s="50"/>
      <c r="E75" s="494" t="s">
        <v>5</v>
      </c>
      <c r="F75" s="428">
        <v>0</v>
      </c>
      <c r="G75" s="489">
        <v>2456</v>
      </c>
      <c r="H75" s="489">
        <v>2252</v>
      </c>
      <c r="I75" s="490">
        <f>SUM(G75:H75)</f>
        <v>4708</v>
      </c>
      <c r="J75" s="488">
        <v>17</v>
      </c>
      <c r="K75" s="50"/>
      <c r="N75" s="491"/>
    </row>
    <row r="76" spans="3:14" x14ac:dyDescent="0.2">
      <c r="C76" s="50"/>
      <c r="D76" s="50"/>
      <c r="E76" s="170" t="s">
        <v>6</v>
      </c>
      <c r="F76" s="510">
        <v>0</v>
      </c>
      <c r="G76" s="489">
        <v>1804</v>
      </c>
      <c r="H76" s="489">
        <v>1409</v>
      </c>
      <c r="I76" s="490">
        <f>SUM(G76:H76)</f>
        <v>3213</v>
      </c>
      <c r="J76" s="488">
        <v>11</v>
      </c>
      <c r="K76" s="50"/>
      <c r="N76" s="491"/>
    </row>
    <row r="77" spans="3:14" x14ac:dyDescent="0.2">
      <c r="C77" s="65"/>
      <c r="D77" s="65"/>
      <c r="E77" s="482" t="s">
        <v>7</v>
      </c>
      <c r="F77" s="511">
        <v>0</v>
      </c>
      <c r="G77" s="490">
        <f>IF(SUM(G75:G76)&lt;&gt;SUM(G78:G79),"ERROR",SUM(G75:G76))</f>
        <v>4260</v>
      </c>
      <c r="H77" s="490">
        <f>IF(SUM(H75:H76)&lt;&gt;SUM(H78:H79),"ERROR",SUM(H75:H76))</f>
        <v>3661</v>
      </c>
      <c r="I77" s="490">
        <f>IF(SUM(I75:I76)&lt;&gt;SUM(I78:I79),"ERROR",SUM(I75:I76))</f>
        <v>7921</v>
      </c>
      <c r="J77" s="493"/>
      <c r="K77" s="50"/>
      <c r="N77" s="491"/>
    </row>
    <row r="78" spans="3:14" x14ac:dyDescent="0.2">
      <c r="C78" s="50"/>
      <c r="D78" s="50"/>
      <c r="E78" s="170" t="s">
        <v>27</v>
      </c>
      <c r="F78" s="510">
        <v>0</v>
      </c>
      <c r="G78" s="518">
        <v>2188</v>
      </c>
      <c r="H78" s="489">
        <v>1829</v>
      </c>
      <c r="I78" s="490">
        <f>SUM(G78:H78)</f>
        <v>4017</v>
      </c>
      <c r="J78" s="488"/>
      <c r="K78" s="50"/>
      <c r="N78" s="491"/>
    </row>
    <row r="79" spans="3:14" x14ac:dyDescent="0.2">
      <c r="C79" s="50"/>
      <c r="D79" s="50"/>
      <c r="E79" s="494" t="s">
        <v>26</v>
      </c>
      <c r="F79" s="428">
        <v>0</v>
      </c>
      <c r="G79" s="488">
        <v>2072</v>
      </c>
      <c r="H79" s="489">
        <v>1832</v>
      </c>
      <c r="I79" s="490">
        <f>SUM(G79:H79)</f>
        <v>3904</v>
      </c>
      <c r="J79" s="488"/>
      <c r="K79" s="50"/>
      <c r="N79" s="491"/>
    </row>
    <row r="80" spans="3:14" ht="12.75" customHeight="1" x14ac:dyDescent="0.2">
      <c r="C80" s="50"/>
      <c r="D80" s="50"/>
      <c r="E80" s="504" t="s">
        <v>249</v>
      </c>
      <c r="F80" s="507"/>
      <c r="G80" s="505">
        <f>G78/G79</f>
        <v>1.055984555984556</v>
      </c>
      <c r="H80" s="505">
        <f>H78/H79</f>
        <v>0.9983624454148472</v>
      </c>
      <c r="I80" s="505">
        <f>I78/I79</f>
        <v>1.0289446721311475</v>
      </c>
      <c r="J80" s="507"/>
      <c r="K80" s="50"/>
    </row>
    <row r="81" spans="3:11" x14ac:dyDescent="0.2">
      <c r="K81" s="50"/>
    </row>
    <row r="82" spans="3:11" x14ac:dyDescent="0.2">
      <c r="C82" s="482">
        <v>2016</v>
      </c>
      <c r="E82" s="494" t="s">
        <v>5</v>
      </c>
      <c r="F82" s="428">
        <v>0</v>
      </c>
      <c r="G82" s="489">
        <v>2418</v>
      </c>
      <c r="H82" s="489">
        <v>2281</v>
      </c>
      <c r="I82" s="490">
        <f>SUM(G82:H82)</f>
        <v>4699</v>
      </c>
      <c r="J82" s="488">
        <v>17</v>
      </c>
      <c r="K82" s="50"/>
    </row>
    <row r="83" spans="3:11" x14ac:dyDescent="0.2">
      <c r="E83" s="170" t="s">
        <v>6</v>
      </c>
      <c r="F83" s="510">
        <v>0</v>
      </c>
      <c r="G83" s="489">
        <v>1881</v>
      </c>
      <c r="H83" s="489">
        <v>1498</v>
      </c>
      <c r="I83" s="490">
        <f>SUM(G83:H83)</f>
        <v>3379</v>
      </c>
      <c r="J83" s="488">
        <v>11</v>
      </c>
      <c r="K83" s="50"/>
    </row>
    <row r="84" spans="3:11" x14ac:dyDescent="0.2">
      <c r="E84" s="482" t="s">
        <v>7</v>
      </c>
      <c r="F84" s="511">
        <v>0</v>
      </c>
      <c r="G84" s="490">
        <f>IF(SUM(G82:G83)&lt;&gt;SUM(G85:G86),"ERROR",SUM(G82:G83))</f>
        <v>4299</v>
      </c>
      <c r="H84" s="490">
        <f>IF(SUM(H82:H83)&lt;&gt;SUM(H85:H86),"ERROR",SUM(H82:H83))</f>
        <v>3779</v>
      </c>
      <c r="I84" s="490">
        <f>IF(SUM(I82:I83)&lt;&gt;SUM(I85:I86),"ERROR",SUM(I82:I83))</f>
        <v>8078</v>
      </c>
      <c r="J84" s="493">
        <v>28</v>
      </c>
      <c r="K84" s="50"/>
    </row>
    <row r="85" spans="3:11" x14ac:dyDescent="0.2">
      <c r="E85" s="170" t="s">
        <v>27</v>
      </c>
      <c r="F85" s="510">
        <v>0</v>
      </c>
      <c r="G85" s="518">
        <v>2080</v>
      </c>
      <c r="H85" s="489">
        <v>1900</v>
      </c>
      <c r="I85" s="490">
        <f>SUM(G85:H85)</f>
        <v>3980</v>
      </c>
      <c r="J85" s="488"/>
      <c r="K85" s="50"/>
    </row>
    <row r="86" spans="3:11" x14ac:dyDescent="0.2">
      <c r="E86" s="494" t="s">
        <v>26</v>
      </c>
      <c r="F86" s="428">
        <v>0</v>
      </c>
      <c r="G86" s="488">
        <v>2219</v>
      </c>
      <c r="H86" s="489">
        <v>1879</v>
      </c>
      <c r="I86" s="490">
        <f>SUM(G86:H86)</f>
        <v>4098</v>
      </c>
      <c r="J86" s="488"/>
      <c r="K86" s="50"/>
    </row>
    <row r="87" spans="3:11" x14ac:dyDescent="0.2">
      <c r="E87" s="504" t="s">
        <v>249</v>
      </c>
      <c r="F87" s="507"/>
      <c r="G87" s="505">
        <f>G85/G86</f>
        <v>0.93735917079765663</v>
      </c>
      <c r="H87" s="505">
        <f>H85/H86</f>
        <v>1.0111761575306013</v>
      </c>
      <c r="I87" s="505">
        <f>I85/I86</f>
        <v>0.9712054660810151</v>
      </c>
      <c r="J87" s="507"/>
      <c r="K87" s="50"/>
    </row>
    <row r="88" spans="3:11" x14ac:dyDescent="0.2">
      <c r="E88" s="494"/>
      <c r="F88" s="488"/>
      <c r="G88" s="501"/>
      <c r="H88" s="501"/>
      <c r="I88" s="501"/>
      <c r="J88" s="488"/>
      <c r="K88" s="50"/>
    </row>
    <row r="89" spans="3:11" x14ac:dyDescent="0.2">
      <c r="C89" s="482">
        <v>2017</v>
      </c>
      <c r="E89" s="494" t="s">
        <v>5</v>
      </c>
      <c r="F89" s="428">
        <v>0</v>
      </c>
      <c r="G89" s="489">
        <v>2425</v>
      </c>
      <c r="H89" s="489">
        <v>2231</v>
      </c>
      <c r="I89" s="490">
        <f>SUM(G89:H89)</f>
        <v>4656</v>
      </c>
      <c r="J89" s="488">
        <v>17</v>
      </c>
      <c r="K89" s="50"/>
    </row>
    <row r="90" spans="3:11" x14ac:dyDescent="0.2">
      <c r="E90" s="170" t="s">
        <v>6</v>
      </c>
      <c r="F90" s="510">
        <v>0</v>
      </c>
      <c r="G90" s="489">
        <v>1786</v>
      </c>
      <c r="H90" s="489">
        <v>1535</v>
      </c>
      <c r="I90" s="490">
        <f>SUM(G90:H90)</f>
        <v>3321</v>
      </c>
      <c r="J90" s="488">
        <v>11</v>
      </c>
      <c r="K90" s="50"/>
    </row>
    <row r="91" spans="3:11" x14ac:dyDescent="0.2">
      <c r="E91" s="482" t="s">
        <v>7</v>
      </c>
      <c r="F91" s="511">
        <v>0</v>
      </c>
      <c r="G91" s="490">
        <f>IF(SUM(G89:G90)&lt;&gt;SUM(G92:G93),"ERROR",SUM(G89:G90))</f>
        <v>4211</v>
      </c>
      <c r="H91" s="490">
        <f>IF(SUM(H89:H90)&lt;&gt;SUM(H92:H93),"ERROR",SUM(H89:H90))</f>
        <v>3766</v>
      </c>
      <c r="I91" s="490">
        <f>IF(SUM(I89:I90)&lt;&gt;SUM(I92:I93),"ERROR",SUM(I89:I90))</f>
        <v>7977</v>
      </c>
      <c r="J91" s="493">
        <v>28</v>
      </c>
      <c r="K91" s="50"/>
    </row>
    <row r="92" spans="3:11" x14ac:dyDescent="0.2">
      <c r="E92" s="170" t="s">
        <v>27</v>
      </c>
      <c r="F92" s="510">
        <v>0</v>
      </c>
      <c r="G92" s="518">
        <v>2015</v>
      </c>
      <c r="H92" s="489">
        <v>1884</v>
      </c>
      <c r="I92" s="490">
        <f>SUM(G92:H92)</f>
        <v>3899</v>
      </c>
      <c r="J92" s="488"/>
      <c r="K92" s="50"/>
    </row>
    <row r="93" spans="3:11" x14ac:dyDescent="0.2">
      <c r="E93" s="494" t="s">
        <v>26</v>
      </c>
      <c r="F93" s="428">
        <v>0</v>
      </c>
      <c r="G93" s="488">
        <v>2196</v>
      </c>
      <c r="H93" s="489">
        <v>1882</v>
      </c>
      <c r="I93" s="490">
        <f>SUM(G93:H93)</f>
        <v>4078</v>
      </c>
      <c r="J93" s="488"/>
      <c r="K93" s="50"/>
    </row>
    <row r="94" spans="3:11" x14ac:dyDescent="0.2">
      <c r="E94" s="504" t="s">
        <v>249</v>
      </c>
      <c r="F94" s="507"/>
      <c r="G94" s="505">
        <f>G92/G93</f>
        <v>0.91757741347905286</v>
      </c>
      <c r="H94" s="505">
        <f>H92/H93</f>
        <v>1.0010626992561105</v>
      </c>
      <c r="I94" s="505">
        <f>I92/I93</f>
        <v>0.95610593428151058</v>
      </c>
      <c r="J94" s="507"/>
      <c r="K94" s="50"/>
    </row>
    <row r="95" spans="3:11" x14ac:dyDescent="0.2">
      <c r="E95" s="494"/>
      <c r="F95" s="488"/>
      <c r="G95" s="501"/>
      <c r="H95" s="501"/>
      <c r="I95" s="501"/>
      <c r="J95" s="488"/>
      <c r="K95" s="50"/>
    </row>
    <row r="96" spans="3:11" x14ac:dyDescent="0.2">
      <c r="C96" s="482">
        <v>2018</v>
      </c>
      <c r="E96" s="494" t="s">
        <v>5</v>
      </c>
      <c r="F96" s="428">
        <v>0</v>
      </c>
      <c r="G96" s="489">
        <v>2396</v>
      </c>
      <c r="H96" s="489">
        <v>2227</v>
      </c>
      <c r="I96" s="490">
        <f>SUM(G96:H96)</f>
        <v>4623</v>
      </c>
      <c r="J96" s="488">
        <v>17</v>
      </c>
      <c r="K96" s="50"/>
    </row>
    <row r="97" spans="3:11" x14ac:dyDescent="0.2">
      <c r="E97" s="170" t="s">
        <v>6</v>
      </c>
      <c r="F97" s="510">
        <v>0</v>
      </c>
      <c r="G97" s="489">
        <v>2022</v>
      </c>
      <c r="H97" s="489">
        <v>1596</v>
      </c>
      <c r="I97" s="490">
        <f>SUM(G97:H97)</f>
        <v>3618</v>
      </c>
      <c r="J97" s="488">
        <v>12</v>
      </c>
      <c r="K97" s="50"/>
    </row>
    <row r="98" spans="3:11" x14ac:dyDescent="0.2">
      <c r="E98" s="482" t="s">
        <v>7</v>
      </c>
      <c r="F98" s="511">
        <v>0</v>
      </c>
      <c r="G98" s="490">
        <f>IF(SUM(G96:G97)&lt;&gt;SUM(G99:G100),"ERROR",SUM(G96:G97))</f>
        <v>4418</v>
      </c>
      <c r="H98" s="490">
        <f>IF(SUM(H96:H97)&lt;&gt;SUM(H99:H100),"ERROR",SUM(H96:H97))</f>
        <v>3823</v>
      </c>
      <c r="I98" s="490">
        <f>IF(SUM(I96:I97)&lt;&gt;SUM(I99:I100),"ERROR",SUM(I96:I97))</f>
        <v>8241</v>
      </c>
      <c r="J98" s="493">
        <f>SUM(J96:J97)</f>
        <v>29</v>
      </c>
      <c r="K98" s="50"/>
    </row>
    <row r="99" spans="3:11" x14ac:dyDescent="0.2">
      <c r="E99" s="170" t="s">
        <v>27</v>
      </c>
      <c r="F99" s="510">
        <v>0</v>
      </c>
      <c r="G99" s="518">
        <v>2130</v>
      </c>
      <c r="H99" s="489">
        <v>1884</v>
      </c>
      <c r="I99" s="490">
        <f>SUM(G99:H99)</f>
        <v>4014</v>
      </c>
      <c r="J99" s="488"/>
      <c r="K99" s="50"/>
    </row>
    <row r="100" spans="3:11" x14ac:dyDescent="0.2">
      <c r="E100" s="494" t="s">
        <v>26</v>
      </c>
      <c r="F100" s="428">
        <v>0</v>
      </c>
      <c r="G100" s="488">
        <v>2288</v>
      </c>
      <c r="H100" s="489">
        <v>1939</v>
      </c>
      <c r="I100" s="490">
        <f>SUM(G100:H100)</f>
        <v>4227</v>
      </c>
      <c r="J100" s="488"/>
      <c r="K100" s="50"/>
    </row>
    <row r="101" spans="3:11" x14ac:dyDescent="0.2">
      <c r="E101" s="504" t="s">
        <v>249</v>
      </c>
      <c r="F101" s="507"/>
      <c r="G101" s="505">
        <f>G99/G100</f>
        <v>0.93094405594405594</v>
      </c>
      <c r="H101" s="505">
        <f>H99/H100</f>
        <v>0.9716348633316142</v>
      </c>
      <c r="I101" s="505">
        <f>I99/I100</f>
        <v>0.9496096522356281</v>
      </c>
      <c r="J101" s="507"/>
      <c r="K101" s="50"/>
    </row>
    <row r="102" spans="3:11" x14ac:dyDescent="0.2">
      <c r="E102" s="494"/>
      <c r="F102" s="488"/>
      <c r="G102" s="501"/>
      <c r="H102" s="501"/>
      <c r="I102" s="501"/>
      <c r="J102" s="488"/>
      <c r="K102" s="50"/>
    </row>
    <row r="103" spans="3:11" x14ac:dyDescent="0.2">
      <c r="C103" s="482">
        <v>2019</v>
      </c>
      <c r="E103" s="494" t="s">
        <v>5</v>
      </c>
      <c r="F103" s="428">
        <v>0</v>
      </c>
      <c r="G103" s="489">
        <v>2352</v>
      </c>
      <c r="H103" s="489">
        <v>2284</v>
      </c>
      <c r="I103" s="490">
        <f>SUM(G103:H103)</f>
        <v>4636</v>
      </c>
      <c r="J103" s="488">
        <v>17</v>
      </c>
      <c r="K103" s="50"/>
    </row>
    <row r="104" spans="3:11" x14ac:dyDescent="0.2">
      <c r="E104" s="170" t="s">
        <v>6</v>
      </c>
      <c r="F104" s="510">
        <v>0</v>
      </c>
      <c r="G104" s="489">
        <v>2125</v>
      </c>
      <c r="H104" s="489">
        <v>1284</v>
      </c>
      <c r="I104" s="490">
        <f>SUM(G104:H104)</f>
        <v>3409</v>
      </c>
      <c r="J104" s="488">
        <v>12</v>
      </c>
      <c r="K104" s="50"/>
    </row>
    <row r="105" spans="3:11" x14ac:dyDescent="0.2">
      <c r="E105" s="482" t="s">
        <v>7</v>
      </c>
      <c r="F105" s="511">
        <v>0</v>
      </c>
      <c r="G105" s="490">
        <f>IF(SUM(G103:G104)&lt;&gt;SUM(G106:G107),"ERROR",SUM(G103:G104))</f>
        <v>4477</v>
      </c>
      <c r="H105" s="490">
        <f>IF(SUM(H103:H104)&lt;&gt;SUM(H106:H107),"ERROR",SUM(H103:H104))</f>
        <v>3568</v>
      </c>
      <c r="I105" s="490">
        <f>IF(SUM(I103:I104)&lt;&gt;SUM(I106:I107),"ERROR",SUM(I103:I104))</f>
        <v>8045</v>
      </c>
      <c r="J105" s="493">
        <f>SUM(J103:J104)</f>
        <v>29</v>
      </c>
      <c r="K105" s="50"/>
    </row>
    <row r="106" spans="3:11" x14ac:dyDescent="0.2">
      <c r="E106" s="170" t="s">
        <v>27</v>
      </c>
      <c r="F106" s="510">
        <v>0</v>
      </c>
      <c r="G106" s="518">
        <v>2199</v>
      </c>
      <c r="H106" s="489">
        <v>1789</v>
      </c>
      <c r="I106" s="490">
        <f>SUM(G106:H106)</f>
        <v>3988</v>
      </c>
      <c r="J106" s="488"/>
      <c r="K106" s="50"/>
    </row>
    <row r="107" spans="3:11" x14ac:dyDescent="0.2">
      <c r="E107" s="494" t="s">
        <v>26</v>
      </c>
      <c r="F107" s="428">
        <v>0</v>
      </c>
      <c r="G107" s="488">
        <v>2278</v>
      </c>
      <c r="H107" s="489">
        <v>1779</v>
      </c>
      <c r="I107" s="490">
        <f>SUM(G107:H107)</f>
        <v>4057</v>
      </c>
      <c r="J107" s="488"/>
      <c r="K107" s="50"/>
    </row>
    <row r="108" spans="3:11" x14ac:dyDescent="0.2">
      <c r="E108" s="504" t="s">
        <v>249</v>
      </c>
      <c r="F108" s="507"/>
      <c r="G108" s="505">
        <f>G106/G107</f>
        <v>0.96532045654082532</v>
      </c>
      <c r="H108" s="505">
        <f>H106/H107</f>
        <v>1.0056211354693647</v>
      </c>
      <c r="I108" s="505">
        <f>I106/I107</f>
        <v>0.98299235888587622</v>
      </c>
      <c r="J108" s="507"/>
      <c r="K108" s="50"/>
    </row>
    <row r="109" spans="3:11" x14ac:dyDescent="0.2">
      <c r="E109" s="494"/>
      <c r="F109" s="488"/>
      <c r="G109" s="501"/>
      <c r="H109" s="501"/>
      <c r="I109" s="501"/>
      <c r="J109" s="488"/>
      <c r="K109" s="50"/>
    </row>
    <row r="110" spans="3:11" x14ac:dyDescent="0.2">
      <c r="E110" s="494"/>
      <c r="F110" s="488"/>
      <c r="G110" s="501"/>
      <c r="H110" s="501"/>
      <c r="I110" s="501"/>
      <c r="J110" s="488"/>
      <c r="K110" s="50"/>
    </row>
    <row r="111" spans="3:11" x14ac:dyDescent="0.2">
      <c r="C111" s="482"/>
      <c r="E111" s="494"/>
      <c r="F111" s="428"/>
      <c r="G111" s="489"/>
      <c r="H111" s="489"/>
      <c r="I111" s="490"/>
      <c r="J111" s="488"/>
      <c r="K111" s="50"/>
    </row>
    <row r="112" spans="3:11" x14ac:dyDescent="0.2">
      <c r="K112" s="50"/>
    </row>
    <row r="113" spans="2:12" x14ac:dyDescent="0.2">
      <c r="E113" s="65" t="s">
        <v>123</v>
      </c>
      <c r="F113" s="488"/>
      <c r="G113" s="489"/>
      <c r="H113" s="489"/>
      <c r="I113" s="490"/>
      <c r="J113" s="488"/>
      <c r="K113" s="50"/>
    </row>
    <row r="114" spans="2:12" x14ac:dyDescent="0.2">
      <c r="E114" s="413" t="s">
        <v>312</v>
      </c>
      <c r="F114" s="488"/>
      <c r="G114" s="489"/>
      <c r="H114" s="489"/>
      <c r="I114" s="490"/>
      <c r="J114" s="488"/>
      <c r="K114" s="50"/>
    </row>
    <row r="115" spans="2:12" x14ac:dyDescent="0.2">
      <c r="E115" s="734" t="s">
        <v>247</v>
      </c>
      <c r="F115" s="734"/>
      <c r="G115" s="734"/>
      <c r="H115" s="734"/>
      <c r="I115" s="734"/>
      <c r="J115" s="734"/>
    </row>
    <row r="116" spans="2:12" x14ac:dyDescent="0.2">
      <c r="E116" s="494"/>
      <c r="H116" s="519"/>
      <c r="I116" s="520"/>
      <c r="J116" s="519"/>
    </row>
    <row r="117" spans="2:12" x14ac:dyDescent="0.2">
      <c r="E117" s="413" t="s">
        <v>356</v>
      </c>
      <c r="F117" s="519"/>
      <c r="G117" s="519"/>
      <c r="I117" s="512" t="s">
        <v>1</v>
      </c>
    </row>
    <row r="118" spans="2:12" x14ac:dyDescent="0.2">
      <c r="E118" s="413"/>
      <c r="I118" s="512"/>
    </row>
    <row r="119" spans="2:12" x14ac:dyDescent="0.2">
      <c r="E119" s="448" t="s">
        <v>313</v>
      </c>
      <c r="I119" s="512"/>
    </row>
    <row r="120" spans="2:12" x14ac:dyDescent="0.2">
      <c r="C120" s="50"/>
      <c r="D120" s="50"/>
      <c r="E120" s="494"/>
      <c r="F120" s="488"/>
      <c r="G120" s="516"/>
      <c r="H120" s="516"/>
      <c r="I120" s="516"/>
      <c r="J120" s="488"/>
      <c r="K120" s="50"/>
    </row>
    <row r="121" spans="2:12" x14ac:dyDescent="0.2">
      <c r="C121" s="50"/>
      <c r="D121" s="521">
        <v>1</v>
      </c>
      <c r="E121" s="494"/>
      <c r="F121" s="488"/>
      <c r="G121" s="516"/>
      <c r="H121" s="516"/>
      <c r="I121" s="517"/>
      <c r="J121" s="488"/>
      <c r="K121" s="50"/>
    </row>
    <row r="122" spans="2:12" x14ac:dyDescent="0.2">
      <c r="D122" s="156"/>
    </row>
    <row r="123" spans="2:12" ht="9" customHeight="1" x14ac:dyDescent="0.2">
      <c r="B123" s="499"/>
      <c r="C123" s="499"/>
      <c r="D123" s="499"/>
      <c r="E123" s="499"/>
      <c r="F123" s="499"/>
      <c r="G123" s="499"/>
      <c r="H123" s="499"/>
      <c r="I123" s="522"/>
      <c r="J123" s="499"/>
      <c r="K123" s="499"/>
    </row>
    <row r="124" spans="2:12" x14ac:dyDescent="0.2">
      <c r="B124" s="523">
        <v>29</v>
      </c>
      <c r="C124" s="523"/>
      <c r="D124" s="523"/>
      <c r="E124" s="523"/>
      <c r="F124" s="523"/>
      <c r="G124" s="523"/>
      <c r="H124" s="523"/>
      <c r="I124" s="523"/>
      <c r="J124" s="523"/>
      <c r="K124" s="523"/>
      <c r="L124" s="523"/>
    </row>
    <row r="125" spans="2:12" x14ac:dyDescent="0.2">
      <c r="E125" s="156"/>
      <c r="I125" s="512"/>
    </row>
    <row r="165" spans="6:60" x14ac:dyDescent="0.2">
      <c r="N165" s="50"/>
      <c r="O165" s="50"/>
      <c r="P165" s="50"/>
      <c r="Q165" s="50"/>
      <c r="R165" s="50"/>
      <c r="S165" s="50"/>
      <c r="T165" s="50"/>
      <c r="U165" s="50"/>
      <c r="V165" s="50"/>
      <c r="W165" s="50"/>
      <c r="X165" s="50"/>
      <c r="Y165" s="50"/>
      <c r="Z165" s="50"/>
      <c r="AA165" s="50"/>
      <c r="AB165" s="50"/>
      <c r="AC165" s="50"/>
      <c r="AD165" s="50"/>
      <c r="AE165" s="50"/>
      <c r="AF165" s="50"/>
      <c r="AG165" s="50"/>
      <c r="AH165" s="50"/>
      <c r="AI165" s="50"/>
      <c r="AJ165" s="50"/>
      <c r="AK165" s="50"/>
      <c r="AL165" s="50"/>
      <c r="AM165" s="50"/>
      <c r="AN165" s="50"/>
      <c r="AO165" s="50"/>
      <c r="AP165" s="50"/>
      <c r="AQ165" s="50"/>
      <c r="AR165" s="50"/>
      <c r="AS165" s="50"/>
      <c r="AT165" s="50"/>
      <c r="AU165" s="50"/>
      <c r="AV165" s="50"/>
      <c r="AW165" s="50"/>
      <c r="AX165" s="50"/>
      <c r="AY165" s="50"/>
      <c r="AZ165" s="50"/>
      <c r="BA165" s="50"/>
      <c r="BB165" s="50"/>
      <c r="BC165" s="50"/>
      <c r="BD165" s="50"/>
      <c r="BE165" s="50"/>
      <c r="BF165" s="50"/>
      <c r="BG165" s="50"/>
      <c r="BH165" s="50"/>
    </row>
    <row r="166" spans="6:60" x14ac:dyDescent="0.2">
      <c r="N166" s="50"/>
      <c r="O166" s="50"/>
      <c r="P166" s="50"/>
      <c r="Q166" s="50"/>
      <c r="R166" s="50"/>
      <c r="S166" s="50"/>
      <c r="T166" s="50"/>
      <c r="U166" s="50"/>
      <c r="V166" s="50"/>
      <c r="W166" s="50"/>
      <c r="X166" s="50"/>
      <c r="Y166" s="50"/>
      <c r="Z166" s="50"/>
      <c r="AA166" s="50"/>
      <c r="AB166" s="50"/>
      <c r="AC166" s="50"/>
      <c r="AD166" s="50"/>
      <c r="AE166" s="50"/>
      <c r="AF166" s="50"/>
      <c r="AG166" s="50"/>
      <c r="AH166" s="50"/>
      <c r="AI166" s="50"/>
      <c r="AJ166" s="50"/>
      <c r="AK166" s="50"/>
      <c r="AL166" s="50"/>
      <c r="AM166" s="50"/>
      <c r="AN166" s="50"/>
      <c r="AO166" s="50"/>
      <c r="AP166" s="50"/>
      <c r="AQ166" s="50"/>
      <c r="AR166" s="50"/>
      <c r="AS166" s="50"/>
      <c r="AT166" s="50"/>
      <c r="AU166" s="50"/>
      <c r="AV166" s="50"/>
      <c r="AW166" s="50"/>
      <c r="AX166" s="50"/>
      <c r="AY166" s="50"/>
      <c r="AZ166" s="50"/>
      <c r="BA166" s="50"/>
      <c r="BB166" s="50"/>
      <c r="BC166" s="50"/>
      <c r="BD166" s="50"/>
      <c r="BE166" s="50"/>
      <c r="BF166" s="50"/>
      <c r="BG166" s="50"/>
      <c r="BH166" s="50"/>
    </row>
    <row r="167" spans="6:60" x14ac:dyDescent="0.2">
      <c r="N167" s="50"/>
      <c r="O167" s="50"/>
      <c r="P167" s="50"/>
      <c r="Q167" s="50"/>
      <c r="R167" s="50"/>
      <c r="S167" s="50"/>
      <c r="T167" s="50"/>
      <c r="U167" s="50"/>
      <c r="V167" s="50"/>
      <c r="W167" s="50"/>
      <c r="X167" s="50"/>
      <c r="Y167" s="50"/>
      <c r="Z167" s="50"/>
      <c r="AA167" s="50"/>
      <c r="AB167" s="50"/>
      <c r="AC167" s="50"/>
      <c r="AD167" s="50"/>
      <c r="AE167" s="50"/>
      <c r="AF167" s="50"/>
      <c r="AG167" s="50"/>
      <c r="AH167" s="50"/>
      <c r="AI167" s="50"/>
      <c r="AJ167" s="50"/>
      <c r="AK167" s="50"/>
      <c r="AL167" s="50"/>
      <c r="AM167" s="50"/>
      <c r="AN167" s="50"/>
      <c r="AO167" s="50"/>
      <c r="AP167" s="50"/>
      <c r="AQ167" s="50"/>
      <c r="AR167" s="50"/>
      <c r="AS167" s="50"/>
      <c r="AT167" s="50"/>
      <c r="AU167" s="50"/>
      <c r="AV167" s="50"/>
      <c r="AW167" s="50"/>
      <c r="AX167" s="50"/>
      <c r="AY167" s="50"/>
      <c r="AZ167" s="50"/>
      <c r="BA167" s="50"/>
      <c r="BB167" s="50"/>
      <c r="BC167" s="50"/>
      <c r="BD167" s="50"/>
      <c r="BE167" s="50"/>
      <c r="BF167" s="50"/>
      <c r="BG167" s="50"/>
      <c r="BH167" s="50"/>
    </row>
    <row r="173" spans="6:60" x14ac:dyDescent="0.2">
      <c r="F173" s="50"/>
      <c r="G173" s="50"/>
      <c r="H173" s="50"/>
      <c r="I173" s="65"/>
      <c r="J173" s="50"/>
      <c r="K173" s="50"/>
      <c r="L173" s="50"/>
      <c r="M173" s="50"/>
    </row>
    <row r="174" spans="6:60" x14ac:dyDescent="0.2">
      <c r="F174" s="50"/>
      <c r="G174" s="50"/>
      <c r="H174" s="50"/>
      <c r="I174" s="65"/>
      <c r="J174" s="50"/>
      <c r="K174" s="50"/>
      <c r="L174" s="50"/>
      <c r="M174" s="50"/>
    </row>
    <row r="175" spans="6:60" x14ac:dyDescent="0.2">
      <c r="F175" s="50"/>
      <c r="G175" s="50"/>
      <c r="H175" s="50"/>
      <c r="I175" s="65"/>
      <c r="J175" s="50"/>
      <c r="K175" s="50"/>
      <c r="L175" s="50"/>
      <c r="M175" s="50"/>
    </row>
  </sheetData>
  <mergeCells count="3">
    <mergeCell ref="E115:J115"/>
    <mergeCell ref="B5:M5"/>
    <mergeCell ref="C8:M8"/>
  </mergeCells>
  <phoneticPr fontId="0" type="noConversion"/>
  <pageMargins left="0.7" right="0.7" top="0.75" bottom="0.75" header="0.3" footer="0.3"/>
  <pageSetup scale="61" orientation="portrait" r:id="rId1"/>
  <colBreaks count="1" manualBreakCount="1">
    <brk id="15" max="1048575" man="1"/>
  </colBreaks>
  <ignoredErrors>
    <ignoredError sqref="I49:I53 I60 I67 I74 I81" formula="1"/>
    <ignoredError sqref="I54:I59 I61:I66 I68:I73 I75:I80 I82:I86 I105 I91" formula="1" formulaRange="1"/>
    <ignoredError sqref="I89:I90 I106:I107 I92:I104" formulaRange="1"/>
  </ignoredErrors>
  <drawing r:id="rId2"/>
  <legacyDrawing r:id="rId3"/>
  <oleObjects>
    <mc:AlternateContent xmlns:mc="http://schemas.openxmlformats.org/markup-compatibility/2006">
      <mc:Choice Requires="x14">
        <oleObject progId="MSPhotoEd.3" shapeId="24578" r:id="rId4">
          <objectPr defaultSize="0" autoPict="0" r:id="rId5">
            <anchor moveWithCells="1" sizeWithCells="1">
              <from>
                <xdr:col>1</xdr:col>
                <xdr:colOff>0</xdr:colOff>
                <xdr:row>0</xdr:row>
                <xdr:rowOff>76200</xdr:rowOff>
              </from>
              <to>
                <xdr:col>1</xdr:col>
                <xdr:colOff>419100</xdr:colOff>
                <xdr:row>1</xdr:row>
                <xdr:rowOff>104775</xdr:rowOff>
              </to>
            </anchor>
          </objectPr>
        </oleObject>
      </mc:Choice>
      <mc:Fallback>
        <oleObject progId="MSPhotoEd.3" shapeId="24578"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5" tint="0.59999389629810485"/>
    <pageSetUpPr fitToPage="1"/>
  </sheetPr>
  <dimension ref="B4:Q69"/>
  <sheetViews>
    <sheetView zoomScale="96" zoomScaleNormal="96" workbookViewId="0">
      <selection activeCell="J4" sqref="J4"/>
    </sheetView>
  </sheetViews>
  <sheetFormatPr defaultColWidth="9.140625" defaultRowHeight="14.25" x14ac:dyDescent="0.2"/>
  <cols>
    <col min="1" max="1" width="9.140625" style="301"/>
    <col min="2" max="2" width="8.140625" style="301" customWidth="1"/>
    <col min="3" max="3" width="7.42578125" style="301" customWidth="1"/>
    <col min="4" max="4" width="17.7109375" style="301" customWidth="1"/>
    <col min="5" max="6" width="15.140625" style="301" customWidth="1"/>
    <col min="7" max="7" width="13.140625" style="301" customWidth="1"/>
    <col min="8" max="16384" width="9.140625" style="301"/>
  </cols>
  <sheetData>
    <row r="4" spans="2:17" ht="15" x14ac:dyDescent="0.25">
      <c r="G4" s="29"/>
      <c r="H4" s="29"/>
      <c r="I4" s="482"/>
      <c r="J4" s="403" t="s">
        <v>374</v>
      </c>
    </row>
    <row r="5" spans="2:17" s="299" customFormat="1" ht="12.75" x14ac:dyDescent="0.2">
      <c r="Q5" s="170"/>
    </row>
    <row r="6" spans="2:17" s="299" customFormat="1" ht="15.75" x14ac:dyDescent="0.25">
      <c r="B6" s="736" t="s">
        <v>368</v>
      </c>
      <c r="C6" s="736"/>
      <c r="D6" s="736"/>
      <c r="E6" s="736"/>
      <c r="F6" s="736"/>
      <c r="G6" s="736"/>
      <c r="H6" s="736"/>
      <c r="I6" s="449"/>
      <c r="J6" s="449"/>
      <c r="K6" s="449"/>
      <c r="L6" s="449"/>
      <c r="M6" s="449"/>
      <c r="N6" s="449"/>
      <c r="Q6" s="170"/>
    </row>
    <row r="7" spans="2:17" s="299" customFormat="1" ht="15.75" x14ac:dyDescent="0.25">
      <c r="B7" s="404"/>
      <c r="C7" s="404"/>
      <c r="D7" s="404"/>
      <c r="E7" s="404"/>
      <c r="F7" s="404"/>
      <c r="G7" s="404"/>
      <c r="H7" s="404"/>
      <c r="I7" s="404"/>
      <c r="J7" s="404"/>
      <c r="K7" s="404"/>
      <c r="L7" s="449"/>
      <c r="M7" s="449"/>
      <c r="N7" s="449"/>
      <c r="Q7" s="170"/>
    </row>
    <row r="8" spans="2:17" s="299" customFormat="1" ht="15.75" x14ac:dyDescent="0.25">
      <c r="E8" s="404"/>
      <c r="F8" s="404"/>
      <c r="G8" s="404"/>
      <c r="H8" s="404"/>
      <c r="I8" s="404"/>
      <c r="J8" s="404"/>
      <c r="K8" s="404"/>
      <c r="L8" s="404"/>
      <c r="M8" s="404"/>
      <c r="N8" s="404"/>
      <c r="Q8" s="170"/>
    </row>
    <row r="9" spans="2:17" s="450" customFormat="1" ht="15" customHeight="1" x14ac:dyDescent="0.25">
      <c r="B9" s="450" t="s">
        <v>233</v>
      </c>
      <c r="C9" s="744" t="s">
        <v>367</v>
      </c>
      <c r="D9" s="744"/>
      <c r="E9" s="744"/>
      <c r="F9" s="744"/>
      <c r="G9" s="744"/>
      <c r="H9" s="744"/>
      <c r="I9" s="524"/>
      <c r="J9" s="524"/>
      <c r="K9" s="524"/>
    </row>
    <row r="10" spans="2:17" s="450" customFormat="1" ht="15" x14ac:dyDescent="0.25">
      <c r="D10" s="525"/>
      <c r="E10" s="525"/>
      <c r="F10" s="525"/>
    </row>
    <row r="11" spans="2:17" s="450" customFormat="1" ht="15" x14ac:dyDescent="0.25">
      <c r="B11" s="299"/>
      <c r="C11" s="299"/>
      <c r="D11" s="299"/>
      <c r="E11" s="299"/>
      <c r="F11" s="299"/>
    </row>
    <row r="12" spans="2:17" x14ac:dyDescent="0.2">
      <c r="D12" s="526" t="s">
        <v>222</v>
      </c>
      <c r="E12" s="527" t="s">
        <v>2</v>
      </c>
      <c r="F12" s="527" t="s">
        <v>266</v>
      </c>
      <c r="G12" s="527" t="s">
        <v>25</v>
      </c>
    </row>
    <row r="13" spans="2:17" x14ac:dyDescent="0.2">
      <c r="D13" s="526" t="s">
        <v>223</v>
      </c>
      <c r="E13" s="528">
        <f>SUM(E16,E17)</f>
        <v>4477</v>
      </c>
      <c r="F13" s="528">
        <f>SUM(F16,F17)</f>
        <v>3568</v>
      </c>
      <c r="G13" s="528">
        <f>SUM(G16,G17)</f>
        <v>8045</v>
      </c>
    </row>
    <row r="14" spans="2:17" x14ac:dyDescent="0.2">
      <c r="D14" s="529" t="s">
        <v>5</v>
      </c>
      <c r="E14" s="528">
        <f>SUM(E21,E28,E35,E42,E49,E56)</f>
        <v>2352</v>
      </c>
      <c r="F14" s="528">
        <f t="shared" ref="F14" si="0">SUM(F21,F28,F35,F42,F49,F56)</f>
        <v>2284</v>
      </c>
      <c r="G14" s="528">
        <f>SUM(G21,G28,G35,G42,G49,G56)</f>
        <v>4636</v>
      </c>
    </row>
    <row r="15" spans="2:17" x14ac:dyDescent="0.2">
      <c r="D15" s="529" t="s">
        <v>6</v>
      </c>
      <c r="E15" s="528">
        <f>SUM(E22,E29,E36,E43,E50,E57)</f>
        <v>2125</v>
      </c>
      <c r="F15" s="528">
        <f t="shared" ref="F15:G15" si="1">SUM(F22,F29,F36,F43,F50,F57)</f>
        <v>1284</v>
      </c>
      <c r="G15" s="528">
        <f t="shared" si="1"/>
        <v>3409</v>
      </c>
    </row>
    <row r="16" spans="2:17" x14ac:dyDescent="0.2">
      <c r="D16" s="529" t="s">
        <v>27</v>
      </c>
      <c r="E16" s="528">
        <f>SUM(E23,E30,E37,E44,E51,E58)</f>
        <v>2199</v>
      </c>
      <c r="F16" s="528">
        <f t="shared" ref="F16:G16" si="2">SUM(F23,F30,F37,F44,F51,F58)</f>
        <v>1789</v>
      </c>
      <c r="G16" s="528">
        <f t="shared" si="2"/>
        <v>3988</v>
      </c>
      <c r="J16" s="530"/>
    </row>
    <row r="17" spans="4:11" ht="15" x14ac:dyDescent="0.25">
      <c r="D17" s="529" t="s">
        <v>26</v>
      </c>
      <c r="E17" s="528">
        <f>SUM(E24,E31,E38,E45,E52,E59)</f>
        <v>2278</v>
      </c>
      <c r="F17" s="528">
        <f>SUM(F24,F31,F38,F45,F52,F59)</f>
        <v>1779</v>
      </c>
      <c r="G17" s="528">
        <f t="shared" ref="G17:G18" si="3">SUM(G24,G31,G38,G45,G52,G59)</f>
        <v>4057</v>
      </c>
      <c r="K17" s="531"/>
    </row>
    <row r="18" spans="4:11" x14ac:dyDescent="0.2">
      <c r="D18" s="477" t="s">
        <v>267</v>
      </c>
      <c r="E18" s="528">
        <f>SUM(E25,E32,E39,E46,E53,E60)</f>
        <v>23</v>
      </c>
      <c r="F18" s="528">
        <f t="shared" ref="F18" si="4">SUM(F25,F32,F39,F46,F53,F60)</f>
        <v>13</v>
      </c>
      <c r="G18" s="528">
        <f t="shared" si="3"/>
        <v>36</v>
      </c>
    </row>
    <row r="19" spans="4:11" x14ac:dyDescent="0.2">
      <c r="D19" s="526"/>
      <c r="E19" s="532"/>
      <c r="F19" s="532"/>
      <c r="G19" s="532"/>
    </row>
    <row r="20" spans="4:11" x14ac:dyDescent="0.2">
      <c r="D20" s="526" t="s">
        <v>177</v>
      </c>
      <c r="E20" s="533">
        <f>SUM(E23,E24)</f>
        <v>2963</v>
      </c>
      <c r="F20" s="533">
        <f>SUM(F23,F24)</f>
        <v>2539</v>
      </c>
      <c r="G20" s="533">
        <f>SUM(G23,G24)</f>
        <v>5502</v>
      </c>
    </row>
    <row r="21" spans="4:11" x14ac:dyDescent="0.2">
      <c r="D21" s="529" t="s">
        <v>5</v>
      </c>
      <c r="E21" s="532">
        <v>966</v>
      </c>
      <c r="F21" s="534">
        <v>1352</v>
      </c>
      <c r="G21" s="532">
        <f>SUM(E21:F21)</f>
        <v>2318</v>
      </c>
    </row>
    <row r="22" spans="4:11" x14ac:dyDescent="0.2">
      <c r="D22" s="529" t="s">
        <v>6</v>
      </c>
      <c r="E22" s="532">
        <v>1997</v>
      </c>
      <c r="F22" s="534">
        <v>1187</v>
      </c>
      <c r="G22" s="532">
        <f>SUM(E22:F22)</f>
        <v>3184</v>
      </c>
    </row>
    <row r="23" spans="4:11" x14ac:dyDescent="0.2">
      <c r="D23" s="529" t="s">
        <v>27</v>
      </c>
      <c r="E23" s="532">
        <v>1463</v>
      </c>
      <c r="F23" s="534">
        <v>1286</v>
      </c>
      <c r="G23" s="532">
        <f>SUM(E23:F23)</f>
        <v>2749</v>
      </c>
    </row>
    <row r="24" spans="4:11" x14ac:dyDescent="0.2">
      <c r="D24" s="529" t="s">
        <v>26</v>
      </c>
      <c r="E24" s="532">
        <v>1500</v>
      </c>
      <c r="F24" s="534">
        <v>1253</v>
      </c>
      <c r="G24" s="532">
        <f>SUM(E24:F24)</f>
        <v>2753</v>
      </c>
    </row>
    <row r="25" spans="4:11" x14ac:dyDescent="0.2">
      <c r="D25" s="477" t="s">
        <v>267</v>
      </c>
      <c r="E25" s="532">
        <v>13</v>
      </c>
      <c r="F25" s="532">
        <v>9</v>
      </c>
      <c r="G25" s="532">
        <f>SUM(E25:F25)</f>
        <v>22</v>
      </c>
    </row>
    <row r="26" spans="4:11" x14ac:dyDescent="0.2">
      <c r="D26" s="477"/>
      <c r="E26" s="532"/>
      <c r="F26" s="532"/>
      <c r="G26" s="532"/>
    </row>
    <row r="27" spans="4:11" x14ac:dyDescent="0.2">
      <c r="D27" s="526" t="s">
        <v>178</v>
      </c>
      <c r="E27" s="533">
        <f>SUM(E30,E31)</f>
        <v>586</v>
      </c>
      <c r="F27" s="533">
        <f t="shared" ref="F27:G27" si="5">SUM(F30,F31)</f>
        <v>97</v>
      </c>
      <c r="G27" s="533">
        <f t="shared" si="5"/>
        <v>683</v>
      </c>
    </row>
    <row r="28" spans="4:11" x14ac:dyDescent="0.2">
      <c r="D28" s="529" t="s">
        <v>5</v>
      </c>
      <c r="E28" s="532">
        <v>458</v>
      </c>
      <c r="F28" s="535"/>
      <c r="G28" s="533">
        <f>SUM(E28:F28)</f>
        <v>458</v>
      </c>
    </row>
    <row r="29" spans="4:11" x14ac:dyDescent="0.2">
      <c r="D29" s="529" t="s">
        <v>6</v>
      </c>
      <c r="E29" s="532">
        <v>128</v>
      </c>
      <c r="F29" s="532">
        <v>97</v>
      </c>
      <c r="G29" s="533">
        <f>SUM(E29:F29)</f>
        <v>225</v>
      </c>
    </row>
    <row r="30" spans="4:11" x14ac:dyDescent="0.2">
      <c r="D30" s="529" t="s">
        <v>27</v>
      </c>
      <c r="E30" s="532">
        <v>283</v>
      </c>
      <c r="F30" s="532">
        <v>40</v>
      </c>
      <c r="G30" s="533">
        <f>SUM(E30:F30)</f>
        <v>323</v>
      </c>
    </row>
    <row r="31" spans="4:11" x14ac:dyDescent="0.2">
      <c r="D31" s="529" t="s">
        <v>26</v>
      </c>
      <c r="E31" s="532">
        <v>303</v>
      </c>
      <c r="F31" s="532">
        <v>57</v>
      </c>
      <c r="G31" s="533">
        <f>SUM(E31:F31)</f>
        <v>360</v>
      </c>
    </row>
    <row r="32" spans="4:11" x14ac:dyDescent="0.2">
      <c r="D32" s="477" t="s">
        <v>267</v>
      </c>
      <c r="E32" s="532">
        <v>3</v>
      </c>
      <c r="F32" s="532">
        <v>2</v>
      </c>
      <c r="G32" s="532">
        <f>SUM(E32:F32)</f>
        <v>5</v>
      </c>
    </row>
    <row r="33" spans="4:7" x14ac:dyDescent="0.2">
      <c r="D33" s="477"/>
      <c r="E33" s="532"/>
      <c r="F33" s="532"/>
      <c r="G33" s="532"/>
    </row>
    <row r="34" spans="4:7" x14ac:dyDescent="0.2">
      <c r="D34" s="526" t="s">
        <v>179</v>
      </c>
      <c r="E34" s="533">
        <f>SUM(E37,E38)</f>
        <v>628</v>
      </c>
      <c r="F34" s="533">
        <f t="shared" ref="F34:G34" si="6">SUM(F37,F38)</f>
        <v>0</v>
      </c>
      <c r="G34" s="533">
        <f t="shared" si="6"/>
        <v>628</v>
      </c>
    </row>
    <row r="35" spans="4:7" x14ac:dyDescent="0.2">
      <c r="D35" s="529" t="s">
        <v>5</v>
      </c>
      <c r="E35" s="532">
        <v>628</v>
      </c>
      <c r="F35" s="535"/>
      <c r="G35" s="532">
        <f>SUM(E35:F35)</f>
        <v>628</v>
      </c>
    </row>
    <row r="36" spans="4:7" x14ac:dyDescent="0.2">
      <c r="D36" s="529" t="s">
        <v>6</v>
      </c>
      <c r="E36" s="535"/>
      <c r="F36" s="535"/>
      <c r="G36" s="535"/>
    </row>
    <row r="37" spans="4:7" x14ac:dyDescent="0.2">
      <c r="D37" s="529" t="s">
        <v>27</v>
      </c>
      <c r="E37" s="532">
        <v>310</v>
      </c>
      <c r="F37" s="535"/>
      <c r="G37" s="532">
        <f>SUM(E37:F37)</f>
        <v>310</v>
      </c>
    </row>
    <row r="38" spans="4:7" x14ac:dyDescent="0.2">
      <c r="D38" s="529" t="s">
        <v>26</v>
      </c>
      <c r="E38" s="532">
        <v>318</v>
      </c>
      <c r="F38" s="535"/>
      <c r="G38" s="532">
        <f>SUM(E38:F38)</f>
        <v>318</v>
      </c>
    </row>
    <row r="39" spans="4:7" x14ac:dyDescent="0.2">
      <c r="D39" s="477" t="s">
        <v>267</v>
      </c>
      <c r="E39" s="532">
        <v>2</v>
      </c>
      <c r="F39" s="535">
        <v>0</v>
      </c>
      <c r="G39" s="532">
        <v>2</v>
      </c>
    </row>
    <row r="40" spans="4:7" x14ac:dyDescent="0.2">
      <c r="D40" s="477"/>
      <c r="E40" s="532"/>
      <c r="F40" s="532"/>
      <c r="G40" s="532"/>
    </row>
    <row r="41" spans="4:7" x14ac:dyDescent="0.2">
      <c r="D41" s="526" t="s">
        <v>180</v>
      </c>
      <c r="E41" s="533">
        <f>SUM(E44,E45)</f>
        <v>81</v>
      </c>
      <c r="F41" s="533">
        <f>SUM(F44,F45)</f>
        <v>794</v>
      </c>
      <c r="G41" s="533">
        <f t="shared" ref="G41" si="7">SUM(G44,G45)</f>
        <v>875</v>
      </c>
    </row>
    <row r="42" spans="4:7" x14ac:dyDescent="0.2">
      <c r="D42" s="529" t="s">
        <v>5</v>
      </c>
      <c r="E42" s="528">
        <v>81</v>
      </c>
      <c r="F42" s="532">
        <v>794</v>
      </c>
      <c r="G42" s="528">
        <f>SUM(E42:F42)</f>
        <v>875</v>
      </c>
    </row>
    <row r="43" spans="4:7" x14ac:dyDescent="0.2">
      <c r="D43" s="529" t="s">
        <v>6</v>
      </c>
      <c r="E43" s="535"/>
      <c r="F43" s="535"/>
      <c r="G43" s="535"/>
    </row>
    <row r="44" spans="4:7" x14ac:dyDescent="0.2">
      <c r="D44" s="529" t="s">
        <v>27</v>
      </c>
      <c r="E44" s="532">
        <v>37</v>
      </c>
      <c r="F44" s="532">
        <v>391</v>
      </c>
      <c r="G44" s="532">
        <f>SUM(E44:F44)</f>
        <v>428</v>
      </c>
    </row>
    <row r="45" spans="4:7" x14ac:dyDescent="0.2">
      <c r="D45" s="529" t="s">
        <v>26</v>
      </c>
      <c r="E45" s="532">
        <v>44</v>
      </c>
      <c r="F45" s="532">
        <v>403</v>
      </c>
      <c r="G45" s="532">
        <f>SUM(E45:F45)</f>
        <v>447</v>
      </c>
    </row>
    <row r="46" spans="4:7" x14ac:dyDescent="0.2">
      <c r="D46" s="477" t="s">
        <v>267</v>
      </c>
      <c r="E46" s="532">
        <v>1</v>
      </c>
      <c r="F46" s="532">
        <v>1</v>
      </c>
      <c r="G46" s="532">
        <v>2</v>
      </c>
    </row>
    <row r="47" spans="4:7" x14ac:dyDescent="0.2">
      <c r="D47" s="477"/>
      <c r="E47" s="532"/>
      <c r="F47" s="532"/>
      <c r="G47" s="532"/>
    </row>
    <row r="48" spans="4:7" x14ac:dyDescent="0.2">
      <c r="D48" s="526" t="s">
        <v>181</v>
      </c>
      <c r="E48" s="533">
        <f>SUM(E51:E52)</f>
        <v>83</v>
      </c>
      <c r="F48" s="533">
        <f t="shared" ref="F48:G48" si="8">SUM(F51:F52)</f>
        <v>0</v>
      </c>
      <c r="G48" s="533">
        <f t="shared" si="8"/>
        <v>83</v>
      </c>
    </row>
    <row r="49" spans="3:10" x14ac:dyDescent="0.2">
      <c r="D49" s="529" t="s">
        <v>5</v>
      </c>
      <c r="E49" s="532">
        <v>83</v>
      </c>
      <c r="F49" s="535"/>
      <c r="G49" s="532">
        <f>SUM(E49:F49)</f>
        <v>83</v>
      </c>
    </row>
    <row r="50" spans="3:10" x14ac:dyDescent="0.2">
      <c r="D50" s="529" t="s">
        <v>6</v>
      </c>
      <c r="E50" s="532"/>
      <c r="F50" s="535"/>
      <c r="G50" s="535"/>
    </row>
    <row r="51" spans="3:10" x14ac:dyDescent="0.2">
      <c r="D51" s="529" t="s">
        <v>27</v>
      </c>
      <c r="E51" s="532">
        <v>40</v>
      </c>
      <c r="F51" s="535"/>
      <c r="G51" s="532">
        <f>SUM(E51:F51)</f>
        <v>40</v>
      </c>
    </row>
    <row r="52" spans="3:10" x14ac:dyDescent="0.2">
      <c r="D52" s="529" t="s">
        <v>26</v>
      </c>
      <c r="E52" s="532">
        <v>43</v>
      </c>
      <c r="F52" s="535"/>
      <c r="G52" s="532">
        <f>SUM(E52:F52)</f>
        <v>43</v>
      </c>
    </row>
    <row r="53" spans="3:10" x14ac:dyDescent="0.2">
      <c r="D53" s="477" t="s">
        <v>267</v>
      </c>
      <c r="E53" s="532">
        <v>1</v>
      </c>
      <c r="F53" s="535">
        <v>0</v>
      </c>
      <c r="G53" s="532">
        <v>1</v>
      </c>
    </row>
    <row r="54" spans="3:10" x14ac:dyDescent="0.2">
      <c r="D54" s="477"/>
      <c r="E54" s="532"/>
      <c r="F54" s="532"/>
      <c r="G54" s="532"/>
    </row>
    <row r="55" spans="3:10" x14ac:dyDescent="0.2">
      <c r="D55" s="526" t="s">
        <v>224</v>
      </c>
      <c r="E55" s="533">
        <f>SUM(E58:E59)</f>
        <v>136</v>
      </c>
      <c r="F55" s="533">
        <f t="shared" ref="F55:G55" si="9">SUM(F58:F59)</f>
        <v>138</v>
      </c>
      <c r="G55" s="533">
        <f t="shared" si="9"/>
        <v>274</v>
      </c>
    </row>
    <row r="56" spans="3:10" x14ac:dyDescent="0.2">
      <c r="D56" s="529" t="s">
        <v>5</v>
      </c>
      <c r="E56" s="532">
        <v>136</v>
      </c>
      <c r="F56" s="532">
        <v>138</v>
      </c>
      <c r="G56" s="532">
        <f>SUM(E56:F56)</f>
        <v>274</v>
      </c>
    </row>
    <row r="57" spans="3:10" x14ac:dyDescent="0.2">
      <c r="D57" s="529" t="s">
        <v>6</v>
      </c>
      <c r="E57" s="535"/>
      <c r="F57" s="535"/>
      <c r="G57" s="535"/>
    </row>
    <row r="58" spans="3:10" x14ac:dyDescent="0.2">
      <c r="D58" s="529" t="s">
        <v>27</v>
      </c>
      <c r="E58" s="532">
        <v>66</v>
      </c>
      <c r="F58" s="532">
        <v>72</v>
      </c>
      <c r="G58" s="532">
        <f>SUM(E58:F58)</f>
        <v>138</v>
      </c>
    </row>
    <row r="59" spans="3:10" x14ac:dyDescent="0.2">
      <c r="D59" s="529" t="s">
        <v>26</v>
      </c>
      <c r="E59" s="532">
        <v>70</v>
      </c>
      <c r="F59" s="532">
        <v>66</v>
      </c>
      <c r="G59" s="532">
        <f>SUM(E59:F59)</f>
        <v>136</v>
      </c>
    </row>
    <row r="60" spans="3:10" x14ac:dyDescent="0.2">
      <c r="D60" s="477" t="s">
        <v>267</v>
      </c>
      <c r="E60" s="532">
        <v>3</v>
      </c>
      <c r="F60" s="532">
        <v>1</v>
      </c>
      <c r="G60" s="532">
        <v>4</v>
      </c>
    </row>
    <row r="62" spans="3:10" x14ac:dyDescent="0.2">
      <c r="C62" s="423" t="s">
        <v>123</v>
      </c>
      <c r="D62" s="536"/>
      <c r="E62" s="457"/>
      <c r="F62" s="536"/>
      <c r="G62" s="457"/>
      <c r="H62" s="457"/>
      <c r="I62" s="457"/>
      <c r="J62" s="457"/>
    </row>
    <row r="63" spans="3:10" ht="30" customHeight="1" x14ac:dyDescent="0.2">
      <c r="C63" s="745" t="s">
        <v>227</v>
      </c>
      <c r="D63" s="745"/>
      <c r="E63" s="745"/>
      <c r="F63" s="745"/>
      <c r="G63" s="745"/>
      <c r="H63" s="745"/>
      <c r="I63" s="745"/>
      <c r="J63" s="745"/>
    </row>
    <row r="64" spans="3:10" ht="18" customHeight="1" x14ac:dyDescent="0.2">
      <c r="C64" s="745" t="s">
        <v>246</v>
      </c>
      <c r="D64" s="745"/>
      <c r="E64" s="745"/>
      <c r="F64" s="745"/>
      <c r="G64" s="745"/>
      <c r="H64" s="745"/>
      <c r="I64" s="745"/>
      <c r="J64" s="745"/>
    </row>
    <row r="65" spans="2:13" ht="18" customHeight="1" x14ac:dyDescent="0.2">
      <c r="C65" s="537"/>
      <c r="D65" s="537"/>
      <c r="E65" s="537"/>
      <c r="F65" s="537"/>
      <c r="G65" s="537"/>
      <c r="H65" s="537"/>
      <c r="I65" s="537"/>
      <c r="J65" s="537"/>
    </row>
    <row r="66" spans="2:13" ht="18" customHeight="1" x14ac:dyDescent="0.2">
      <c r="C66" s="538" t="s">
        <v>357</v>
      </c>
      <c r="D66" s="537"/>
      <c r="E66" s="537"/>
      <c r="F66" s="537"/>
      <c r="G66" s="537"/>
      <c r="H66" s="537"/>
      <c r="I66" s="537"/>
      <c r="J66" s="537"/>
    </row>
    <row r="68" spans="2:13" s="299" customFormat="1" ht="9" customHeight="1" x14ac:dyDescent="0.2">
      <c r="M68" s="170"/>
    </row>
    <row r="69" spans="2:13" x14ac:dyDescent="0.2">
      <c r="B69" s="539">
        <v>30</v>
      </c>
      <c r="C69" s="539"/>
      <c r="D69" s="539"/>
      <c r="E69" s="539"/>
      <c r="F69" s="539"/>
    </row>
  </sheetData>
  <mergeCells count="4">
    <mergeCell ref="B6:H6"/>
    <mergeCell ref="C9:H9"/>
    <mergeCell ref="C63:J63"/>
    <mergeCell ref="C64:J64"/>
  </mergeCells>
  <phoneticPr fontId="0" type="noConversion"/>
  <pageMargins left="0.7" right="0.7" top="0.75" bottom="0.75" header="0.3" footer="0.3"/>
  <pageSetup scale="69" fitToWidth="0" orientation="portrait" r:id="rId1"/>
  <colBreaks count="2" manualBreakCount="2">
    <brk id="14" max="69" man="1"/>
    <brk id="15" max="69" man="1"/>
  </colBreaks>
  <ignoredErrors>
    <ignoredError sqref="E48:F48 E55:F55" formulaRange="1"/>
  </ignoredErrors>
  <drawing r:id="rId2"/>
  <legacyDrawing r:id="rId3"/>
  <oleObjects>
    <mc:AlternateContent xmlns:mc="http://schemas.openxmlformats.org/markup-compatibility/2006">
      <mc:Choice Requires="x14">
        <oleObject progId="MSPhotoEd.3" shapeId="23556" r:id="rId4">
          <objectPr defaultSize="0" autoPict="0" r:id="rId5">
            <anchor moveWithCells="1" sizeWithCells="1">
              <from>
                <xdr:col>0</xdr:col>
                <xdr:colOff>476250</xdr:colOff>
                <xdr:row>1</xdr:row>
                <xdr:rowOff>19050</xdr:rowOff>
              </from>
              <to>
                <xdr:col>2</xdr:col>
                <xdr:colOff>47625</xdr:colOff>
                <xdr:row>2</xdr:row>
                <xdr:rowOff>152400</xdr:rowOff>
              </to>
            </anchor>
          </objectPr>
        </oleObject>
      </mc:Choice>
      <mc:Fallback>
        <oleObject progId="MSPhotoEd.3" shapeId="23556"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B4:Q60"/>
  <sheetViews>
    <sheetView zoomScale="91" zoomScaleNormal="91" zoomScaleSheetLayoutView="62" workbookViewId="0">
      <selection activeCell="N4" sqref="N4"/>
    </sheetView>
  </sheetViews>
  <sheetFormatPr defaultColWidth="9.140625" defaultRowHeight="14.25" x14ac:dyDescent="0.2"/>
  <cols>
    <col min="1" max="1" width="9.140625" style="301"/>
    <col min="2" max="3" width="10.7109375" style="301" customWidth="1"/>
    <col min="4" max="10" width="9.140625" style="301"/>
    <col min="11" max="11" width="9.5703125" style="301" bestFit="1" customWidth="1"/>
    <col min="12" max="12" width="9.140625" style="301" customWidth="1"/>
    <col min="13" max="16384" width="9.140625" style="301"/>
  </cols>
  <sheetData>
    <row r="4" spans="2:17" ht="15" x14ac:dyDescent="0.25">
      <c r="H4" s="29"/>
      <c r="I4" s="29"/>
      <c r="J4" s="29"/>
      <c r="K4" s="482"/>
      <c r="L4" s="403" t="s">
        <v>374</v>
      </c>
    </row>
    <row r="5" spans="2:17" s="299" customFormat="1" ht="12.75" x14ac:dyDescent="0.2">
      <c r="Q5" s="170"/>
    </row>
    <row r="6" spans="2:17" s="299" customFormat="1" ht="15.75" x14ac:dyDescent="0.25">
      <c r="B6" s="736" t="s">
        <v>368</v>
      </c>
      <c r="C6" s="736"/>
      <c r="D6" s="736"/>
      <c r="E6" s="736"/>
      <c r="F6" s="736"/>
      <c r="G6" s="736"/>
      <c r="H6" s="736"/>
      <c r="I6" s="736"/>
      <c r="J6" s="736"/>
      <c r="K6" s="736"/>
      <c r="L6" s="736"/>
      <c r="M6" s="449"/>
      <c r="N6" s="449"/>
      <c r="Q6" s="170"/>
    </row>
    <row r="7" spans="2:17" s="299" customFormat="1" ht="15.75" x14ac:dyDescent="0.25">
      <c r="B7" s="404"/>
      <c r="C7" s="404"/>
      <c r="D7" s="404"/>
      <c r="E7" s="404"/>
      <c r="F7" s="404"/>
      <c r="G7" s="404"/>
      <c r="H7" s="404"/>
      <c r="I7" s="404"/>
      <c r="J7" s="404"/>
      <c r="K7" s="404"/>
      <c r="L7" s="449"/>
      <c r="M7" s="449"/>
      <c r="N7" s="449"/>
      <c r="Q7" s="170"/>
    </row>
    <row r="8" spans="2:17" s="450" customFormat="1" ht="15" customHeight="1" x14ac:dyDescent="0.25">
      <c r="B8" s="540" t="s">
        <v>342</v>
      </c>
      <c r="C8" s="540"/>
      <c r="D8" s="301"/>
      <c r="E8" s="301"/>
      <c r="F8" s="301"/>
      <c r="G8" s="301"/>
      <c r="H8" s="301"/>
      <c r="I8" s="301"/>
      <c r="J8" s="301"/>
      <c r="K8" s="301"/>
      <c r="L8" s="301"/>
    </row>
    <row r="9" spans="2:17" s="450" customFormat="1" ht="15" customHeight="1" x14ac:dyDescent="0.25">
      <c r="B9" s="540"/>
      <c r="C9" s="540"/>
      <c r="D9" s="301"/>
      <c r="E9" s="301"/>
      <c r="F9" s="301"/>
      <c r="G9" s="301"/>
      <c r="H9" s="301"/>
      <c r="I9" s="301"/>
      <c r="J9" s="301"/>
      <c r="K9" s="301"/>
      <c r="L9" s="301"/>
    </row>
    <row r="10" spans="2:17" s="450" customFormat="1" ht="15" x14ac:dyDescent="0.25">
      <c r="B10" s="541"/>
      <c r="C10" s="542" t="s">
        <v>25</v>
      </c>
      <c r="D10" s="543"/>
      <c r="E10" s="543"/>
      <c r="F10" s="543"/>
      <c r="G10" s="543"/>
      <c r="H10" s="543"/>
      <c r="I10" s="543"/>
      <c r="J10" s="543"/>
      <c r="K10" s="543"/>
      <c r="L10" s="544"/>
    </row>
    <row r="11" spans="2:17" ht="30" x14ac:dyDescent="0.25">
      <c r="B11" s="545"/>
      <c r="C11" s="546" t="s">
        <v>252</v>
      </c>
      <c r="D11" s="547" t="s">
        <v>341</v>
      </c>
      <c r="E11" s="547" t="s">
        <v>336</v>
      </c>
      <c r="F11" s="547" t="s">
        <v>337</v>
      </c>
      <c r="G11" s="547" t="s">
        <v>338</v>
      </c>
      <c r="H11" s="547" t="s">
        <v>339</v>
      </c>
      <c r="I11" s="547" t="s">
        <v>340</v>
      </c>
      <c r="J11" s="547" t="s">
        <v>326</v>
      </c>
      <c r="K11" s="548" t="s">
        <v>25</v>
      </c>
      <c r="L11" s="463"/>
    </row>
    <row r="12" spans="2:17" ht="15" x14ac:dyDescent="0.25">
      <c r="B12" s="545"/>
      <c r="C12" s="549">
        <v>4</v>
      </c>
      <c r="D12" s="549">
        <f>SUM(D27,D42)</f>
        <v>33</v>
      </c>
      <c r="E12" s="549"/>
      <c r="F12" s="549"/>
      <c r="G12" s="549"/>
      <c r="H12" s="549"/>
      <c r="I12" s="549"/>
      <c r="J12" s="549"/>
      <c r="K12" s="550">
        <f t="shared" ref="K12" si="0">SUM(K27,K42)</f>
        <v>33</v>
      </c>
      <c r="L12" s="463"/>
    </row>
    <row r="13" spans="2:17" ht="15" x14ac:dyDescent="0.25">
      <c r="B13" s="545"/>
      <c r="C13" s="549">
        <v>5</v>
      </c>
      <c r="D13" s="549">
        <f t="shared" ref="D13:J19" si="1">SUM(D28,D43)</f>
        <v>562</v>
      </c>
      <c r="E13" s="549">
        <f t="shared" si="1"/>
        <v>17</v>
      </c>
      <c r="F13" s="549"/>
      <c r="G13" s="549"/>
      <c r="H13" s="549"/>
      <c r="I13" s="549"/>
      <c r="J13" s="549"/>
      <c r="K13" s="550">
        <f t="shared" ref="K13" si="2">SUM(K28,K43)</f>
        <v>579</v>
      </c>
      <c r="L13" s="463"/>
    </row>
    <row r="14" spans="2:17" ht="15" x14ac:dyDescent="0.25">
      <c r="B14" s="545"/>
      <c r="C14" s="549">
        <v>6</v>
      </c>
      <c r="D14" s="549">
        <f t="shared" si="1"/>
        <v>80</v>
      </c>
      <c r="E14" s="549">
        <f t="shared" si="1"/>
        <v>628</v>
      </c>
      <c r="F14" s="549">
        <f t="shared" si="1"/>
        <v>16</v>
      </c>
      <c r="G14" s="549"/>
      <c r="H14" s="549"/>
      <c r="I14" s="549"/>
      <c r="J14" s="549"/>
      <c r="K14" s="550">
        <f t="shared" ref="K14:K19" si="3">SUM(K29,K44)</f>
        <v>724</v>
      </c>
      <c r="L14" s="463"/>
    </row>
    <row r="15" spans="2:17" ht="15" x14ac:dyDescent="0.25">
      <c r="B15" s="545"/>
      <c r="C15" s="549">
        <v>7</v>
      </c>
      <c r="D15" s="549">
        <f t="shared" si="1"/>
        <v>1</v>
      </c>
      <c r="E15" s="549">
        <f t="shared" si="1"/>
        <v>113</v>
      </c>
      <c r="F15" s="549">
        <f t="shared" si="1"/>
        <v>586</v>
      </c>
      <c r="G15" s="549">
        <f t="shared" si="1"/>
        <v>32</v>
      </c>
      <c r="H15" s="549"/>
      <c r="I15" s="549"/>
      <c r="J15" s="549"/>
      <c r="K15" s="550">
        <f t="shared" si="3"/>
        <v>732</v>
      </c>
      <c r="L15" s="463"/>
    </row>
    <row r="16" spans="2:17" ht="15" x14ac:dyDescent="0.25">
      <c r="B16" s="545"/>
      <c r="C16" s="549">
        <v>8</v>
      </c>
      <c r="D16" s="549"/>
      <c r="E16" s="549">
        <f t="shared" si="1"/>
        <v>1</v>
      </c>
      <c r="F16" s="549">
        <f t="shared" si="1"/>
        <v>118</v>
      </c>
      <c r="G16" s="549">
        <f t="shared" si="1"/>
        <v>645</v>
      </c>
      <c r="H16" s="549">
        <f t="shared" si="1"/>
        <v>18</v>
      </c>
      <c r="I16" s="549"/>
      <c r="J16" s="549"/>
      <c r="K16" s="550">
        <f t="shared" si="3"/>
        <v>782</v>
      </c>
      <c r="L16" s="463"/>
    </row>
    <row r="17" spans="2:12" ht="15" x14ac:dyDescent="0.25">
      <c r="B17" s="545"/>
      <c r="C17" s="549">
        <v>9</v>
      </c>
      <c r="D17" s="549"/>
      <c r="E17" s="549"/>
      <c r="F17" s="549"/>
      <c r="G17" s="549">
        <f t="shared" si="1"/>
        <v>80</v>
      </c>
      <c r="H17" s="549">
        <f t="shared" si="1"/>
        <v>631</v>
      </c>
      <c r="I17" s="549">
        <f t="shared" si="1"/>
        <v>21</v>
      </c>
      <c r="J17" s="549"/>
      <c r="K17" s="550">
        <f t="shared" si="3"/>
        <v>732</v>
      </c>
      <c r="L17" s="463"/>
    </row>
    <row r="18" spans="2:12" ht="15" x14ac:dyDescent="0.25">
      <c r="B18" s="545"/>
      <c r="C18" s="549">
        <v>10</v>
      </c>
      <c r="D18" s="549"/>
      <c r="E18" s="549"/>
      <c r="F18" s="549"/>
      <c r="G18" s="549">
        <f t="shared" si="1"/>
        <v>7</v>
      </c>
      <c r="H18" s="549">
        <f t="shared" si="1"/>
        <v>88</v>
      </c>
      <c r="I18" s="549">
        <f t="shared" si="1"/>
        <v>647</v>
      </c>
      <c r="J18" s="549">
        <f t="shared" si="1"/>
        <v>24</v>
      </c>
      <c r="K18" s="550">
        <f t="shared" si="3"/>
        <v>766</v>
      </c>
      <c r="L18" s="463"/>
    </row>
    <row r="19" spans="2:12" ht="15" x14ac:dyDescent="0.25">
      <c r="B19" s="545"/>
      <c r="C19" s="549">
        <v>11</v>
      </c>
      <c r="D19" s="549"/>
      <c r="E19" s="549"/>
      <c r="F19" s="549"/>
      <c r="G19" s="549"/>
      <c r="H19" s="549">
        <f t="shared" si="1"/>
        <v>3</v>
      </c>
      <c r="I19" s="549">
        <f t="shared" si="1"/>
        <v>98</v>
      </c>
      <c r="J19" s="549">
        <f t="shared" si="1"/>
        <v>28</v>
      </c>
      <c r="K19" s="550">
        <f t="shared" si="3"/>
        <v>129</v>
      </c>
      <c r="L19" s="463"/>
    </row>
    <row r="20" spans="2:12" ht="15" x14ac:dyDescent="0.25">
      <c r="B20" s="545"/>
      <c r="C20" s="549">
        <v>12</v>
      </c>
      <c r="D20" s="549"/>
      <c r="E20" s="549"/>
      <c r="F20" s="549"/>
      <c r="G20" s="549"/>
      <c r="H20" s="549"/>
      <c r="I20" s="549"/>
      <c r="J20" s="549"/>
      <c r="K20" s="550"/>
      <c r="L20" s="463"/>
    </row>
    <row r="21" spans="2:12" ht="15" x14ac:dyDescent="0.25">
      <c r="B21" s="545"/>
      <c r="C21" s="549">
        <v>13</v>
      </c>
      <c r="D21" s="549"/>
      <c r="E21" s="549"/>
      <c r="F21" s="549"/>
      <c r="G21" s="549"/>
      <c r="H21" s="549"/>
      <c r="I21" s="549"/>
      <c r="J21" s="549"/>
      <c r="K21" s="549"/>
      <c r="L21" s="463"/>
    </row>
    <row r="22" spans="2:12" ht="15" x14ac:dyDescent="0.25">
      <c r="B22" s="545"/>
      <c r="C22" s="549">
        <v>14</v>
      </c>
      <c r="D22" s="549"/>
      <c r="E22" s="549"/>
      <c r="F22" s="549"/>
      <c r="G22" s="549"/>
      <c r="H22" s="549"/>
      <c r="I22" s="549"/>
      <c r="J22" s="549"/>
      <c r="K22" s="549"/>
      <c r="L22" s="463"/>
    </row>
    <row r="23" spans="2:12" ht="15" x14ac:dyDescent="0.25">
      <c r="B23" s="545"/>
      <c r="C23" s="550" t="s">
        <v>25</v>
      </c>
      <c r="D23" s="550">
        <f>SUM(D12:D22)</f>
        <v>676</v>
      </c>
      <c r="E23" s="550">
        <f t="shared" ref="E23:G23" si="4">SUM(E38,E53)</f>
        <v>759</v>
      </c>
      <c r="F23" s="550">
        <f t="shared" si="4"/>
        <v>720</v>
      </c>
      <c r="G23" s="550">
        <f t="shared" si="4"/>
        <v>764</v>
      </c>
      <c r="H23" s="550">
        <f t="shared" ref="H23:K23" si="5">SUM(H12:H22)</f>
        <v>740</v>
      </c>
      <c r="I23" s="550">
        <f t="shared" ref="I23:J23" si="6">SUM(I38,I53)</f>
        <v>766</v>
      </c>
      <c r="J23" s="550">
        <f t="shared" si="6"/>
        <v>52</v>
      </c>
      <c r="K23" s="550">
        <f t="shared" si="5"/>
        <v>4477</v>
      </c>
      <c r="L23" s="463"/>
    </row>
    <row r="24" spans="2:12" ht="15" x14ac:dyDescent="0.25">
      <c r="B24" s="545"/>
      <c r="C24" s="551"/>
      <c r="D24" s="551"/>
      <c r="E24" s="551"/>
      <c r="F24" s="551"/>
      <c r="G24" s="551"/>
      <c r="H24" s="551"/>
      <c r="I24" s="551"/>
      <c r="J24" s="551"/>
      <c r="K24" s="552"/>
      <c r="L24" s="463"/>
    </row>
    <row r="25" spans="2:12" ht="15" x14ac:dyDescent="0.25">
      <c r="B25" s="545"/>
      <c r="C25" s="553" t="s">
        <v>27</v>
      </c>
      <c r="D25" s="543"/>
      <c r="E25" s="543"/>
      <c r="F25" s="543"/>
      <c r="G25" s="543"/>
      <c r="H25" s="543"/>
      <c r="I25" s="543"/>
      <c r="J25" s="543"/>
      <c r="K25" s="554"/>
      <c r="L25" s="463"/>
    </row>
    <row r="26" spans="2:12" ht="30" x14ac:dyDescent="0.25">
      <c r="B26" s="545"/>
      <c r="C26" s="546" t="s">
        <v>252</v>
      </c>
      <c r="D26" s="547" t="s">
        <v>341</v>
      </c>
      <c r="E26" s="547" t="s">
        <v>336</v>
      </c>
      <c r="F26" s="547" t="s">
        <v>337</v>
      </c>
      <c r="G26" s="547" t="s">
        <v>338</v>
      </c>
      <c r="H26" s="547" t="s">
        <v>339</v>
      </c>
      <c r="I26" s="547" t="s">
        <v>340</v>
      </c>
      <c r="J26" s="547" t="s">
        <v>326</v>
      </c>
      <c r="K26" s="548" t="s">
        <v>25</v>
      </c>
      <c r="L26" s="463"/>
    </row>
    <row r="27" spans="2:12" ht="15" x14ac:dyDescent="0.25">
      <c r="B27" s="545"/>
      <c r="C27" s="549">
        <v>4</v>
      </c>
      <c r="D27" s="549">
        <v>18</v>
      </c>
      <c r="E27" s="549"/>
      <c r="F27" s="549"/>
      <c r="G27" s="549"/>
      <c r="H27" s="549"/>
      <c r="I27" s="549"/>
      <c r="J27" s="549"/>
      <c r="K27" s="550">
        <f t="shared" ref="K27:K34" si="7">SUM(D27:J27)</f>
        <v>18</v>
      </c>
      <c r="L27" s="463"/>
    </row>
    <row r="28" spans="2:12" ht="15" x14ac:dyDescent="0.25">
      <c r="B28" s="545"/>
      <c r="C28" s="549">
        <v>5</v>
      </c>
      <c r="D28" s="549">
        <v>288</v>
      </c>
      <c r="E28" s="549">
        <v>10</v>
      </c>
      <c r="F28" s="549"/>
      <c r="G28" s="549"/>
      <c r="H28" s="549"/>
      <c r="I28" s="549"/>
      <c r="J28" s="549"/>
      <c r="K28" s="550">
        <f t="shared" si="7"/>
        <v>298</v>
      </c>
      <c r="L28" s="463"/>
    </row>
    <row r="29" spans="2:12" ht="15" x14ac:dyDescent="0.25">
      <c r="B29" s="545"/>
      <c r="C29" s="549">
        <v>6</v>
      </c>
      <c r="D29" s="549">
        <v>36</v>
      </c>
      <c r="E29" s="549">
        <v>313</v>
      </c>
      <c r="F29" s="549">
        <v>11</v>
      </c>
      <c r="G29" s="549"/>
      <c r="H29" s="549"/>
      <c r="I29" s="549"/>
      <c r="J29" s="549"/>
      <c r="K29" s="550">
        <f t="shared" si="7"/>
        <v>360</v>
      </c>
      <c r="L29" s="463"/>
    </row>
    <row r="30" spans="2:12" ht="15" x14ac:dyDescent="0.25">
      <c r="B30" s="545"/>
      <c r="C30" s="549">
        <v>7</v>
      </c>
      <c r="D30" s="549"/>
      <c r="E30" s="549">
        <v>59</v>
      </c>
      <c r="F30" s="549">
        <v>286</v>
      </c>
      <c r="G30" s="549">
        <v>15</v>
      </c>
      <c r="H30" s="549"/>
      <c r="I30" s="549"/>
      <c r="J30" s="549"/>
      <c r="K30" s="550">
        <f t="shared" si="7"/>
        <v>360</v>
      </c>
      <c r="L30" s="463"/>
    </row>
    <row r="31" spans="2:12" ht="15" x14ac:dyDescent="0.25">
      <c r="B31" s="545"/>
      <c r="C31" s="549">
        <v>8</v>
      </c>
      <c r="D31" s="549"/>
      <c r="E31" s="549"/>
      <c r="F31" s="549">
        <v>56</v>
      </c>
      <c r="G31" s="549">
        <v>304</v>
      </c>
      <c r="H31" s="549">
        <v>10</v>
      </c>
      <c r="I31" s="549"/>
      <c r="J31" s="549"/>
      <c r="K31" s="550">
        <f t="shared" si="7"/>
        <v>370</v>
      </c>
      <c r="L31" s="463"/>
    </row>
    <row r="32" spans="2:12" ht="15" x14ac:dyDescent="0.25">
      <c r="B32" s="545"/>
      <c r="C32" s="549">
        <v>9</v>
      </c>
      <c r="D32" s="549"/>
      <c r="E32" s="549"/>
      <c r="F32" s="549"/>
      <c r="G32" s="549">
        <v>36</v>
      </c>
      <c r="H32" s="549">
        <v>325</v>
      </c>
      <c r="I32" s="549">
        <v>10</v>
      </c>
      <c r="J32" s="549"/>
      <c r="K32" s="550">
        <f t="shared" si="7"/>
        <v>371</v>
      </c>
      <c r="L32" s="463"/>
    </row>
    <row r="33" spans="2:12" ht="15" x14ac:dyDescent="0.25">
      <c r="B33" s="545"/>
      <c r="C33" s="549">
        <v>10</v>
      </c>
      <c r="D33" s="549"/>
      <c r="E33" s="549"/>
      <c r="F33" s="549"/>
      <c r="G33" s="549">
        <v>3</v>
      </c>
      <c r="H33" s="549">
        <v>33</v>
      </c>
      <c r="I33" s="549">
        <v>328</v>
      </c>
      <c r="J33" s="549">
        <v>8</v>
      </c>
      <c r="K33" s="550">
        <f t="shared" si="7"/>
        <v>372</v>
      </c>
      <c r="L33" s="463"/>
    </row>
    <row r="34" spans="2:12" ht="15" x14ac:dyDescent="0.25">
      <c r="B34" s="545"/>
      <c r="C34" s="549">
        <v>11</v>
      </c>
      <c r="D34" s="549"/>
      <c r="E34" s="549"/>
      <c r="F34" s="549"/>
      <c r="G34" s="549"/>
      <c r="H34" s="549"/>
      <c r="I34" s="549">
        <v>36</v>
      </c>
      <c r="J34" s="549">
        <v>14</v>
      </c>
      <c r="K34" s="550">
        <f t="shared" si="7"/>
        <v>50</v>
      </c>
      <c r="L34" s="463"/>
    </row>
    <row r="35" spans="2:12" ht="15" x14ac:dyDescent="0.25">
      <c r="B35" s="545"/>
      <c r="C35" s="549">
        <v>12</v>
      </c>
      <c r="D35" s="549"/>
      <c r="E35" s="549"/>
      <c r="F35" s="549"/>
      <c r="G35" s="549"/>
      <c r="H35" s="549"/>
      <c r="I35" s="549"/>
      <c r="J35" s="549"/>
      <c r="K35" s="550"/>
      <c r="L35" s="463"/>
    </row>
    <row r="36" spans="2:12" ht="15" x14ac:dyDescent="0.25">
      <c r="B36" s="545"/>
      <c r="C36" s="549">
        <v>13</v>
      </c>
      <c r="D36" s="549"/>
      <c r="E36" s="549"/>
      <c r="F36" s="549"/>
      <c r="G36" s="549"/>
      <c r="H36" s="549"/>
      <c r="I36" s="549"/>
      <c r="J36" s="549"/>
      <c r="K36" s="550"/>
      <c r="L36" s="463"/>
    </row>
    <row r="37" spans="2:12" ht="15" x14ac:dyDescent="0.25">
      <c r="B37" s="545"/>
      <c r="C37" s="549">
        <v>14</v>
      </c>
      <c r="D37" s="549"/>
      <c r="E37" s="549"/>
      <c r="F37" s="549"/>
      <c r="G37" s="549"/>
      <c r="H37" s="549"/>
      <c r="I37" s="549"/>
      <c r="J37" s="549"/>
      <c r="K37" s="550"/>
      <c r="L37" s="463"/>
    </row>
    <row r="38" spans="2:12" ht="15" x14ac:dyDescent="0.25">
      <c r="B38" s="545"/>
      <c r="C38" s="550" t="s">
        <v>25</v>
      </c>
      <c r="D38" s="550">
        <f>SUM(D27:D37)</f>
        <v>342</v>
      </c>
      <c r="E38" s="550">
        <f>SUM(E27:E37)</f>
        <v>382</v>
      </c>
      <c r="F38" s="550">
        <f t="shared" ref="F38:K38" si="8">SUM(F27:F37)</f>
        <v>353</v>
      </c>
      <c r="G38" s="550">
        <f t="shared" si="8"/>
        <v>358</v>
      </c>
      <c r="H38" s="550">
        <f t="shared" si="8"/>
        <v>368</v>
      </c>
      <c r="I38" s="550">
        <f t="shared" si="8"/>
        <v>374</v>
      </c>
      <c r="J38" s="550">
        <f t="shared" si="8"/>
        <v>22</v>
      </c>
      <c r="K38" s="550">
        <f t="shared" si="8"/>
        <v>2199</v>
      </c>
      <c r="L38" s="555"/>
    </row>
    <row r="39" spans="2:12" ht="15" x14ac:dyDescent="0.25">
      <c r="B39" s="545"/>
      <c r="C39" s="552"/>
      <c r="D39" s="552"/>
      <c r="E39" s="552"/>
      <c r="F39" s="552"/>
      <c r="G39" s="552"/>
      <c r="H39" s="552"/>
      <c r="I39" s="552"/>
      <c r="J39" s="552"/>
      <c r="K39" s="552"/>
      <c r="L39" s="463"/>
    </row>
    <row r="40" spans="2:12" ht="15" x14ac:dyDescent="0.25">
      <c r="B40" s="545"/>
      <c r="C40" s="542" t="s">
        <v>26</v>
      </c>
      <c r="D40" s="543"/>
      <c r="E40" s="543"/>
      <c r="F40" s="543"/>
      <c r="G40" s="543"/>
      <c r="H40" s="543"/>
      <c r="I40" s="543"/>
      <c r="J40" s="543"/>
      <c r="K40" s="554"/>
      <c r="L40" s="463"/>
    </row>
    <row r="41" spans="2:12" ht="30" x14ac:dyDescent="0.25">
      <c r="B41" s="545"/>
      <c r="C41" s="546" t="s">
        <v>252</v>
      </c>
      <c r="D41" s="547" t="s">
        <v>341</v>
      </c>
      <c r="E41" s="547" t="s">
        <v>336</v>
      </c>
      <c r="F41" s="547" t="s">
        <v>337</v>
      </c>
      <c r="G41" s="547" t="s">
        <v>338</v>
      </c>
      <c r="H41" s="547" t="s">
        <v>339</v>
      </c>
      <c r="I41" s="547" t="s">
        <v>340</v>
      </c>
      <c r="J41" s="547" t="s">
        <v>326</v>
      </c>
      <c r="K41" s="548" t="s">
        <v>25</v>
      </c>
      <c r="L41" s="463"/>
    </row>
    <row r="42" spans="2:12" ht="15" x14ac:dyDescent="0.25">
      <c r="B42" s="545"/>
      <c r="C42" s="549">
        <v>4</v>
      </c>
      <c r="D42" s="549">
        <v>15</v>
      </c>
      <c r="E42" s="549"/>
      <c r="F42" s="549"/>
      <c r="G42" s="549"/>
      <c r="H42" s="549"/>
      <c r="I42" s="549"/>
      <c r="J42" s="549"/>
      <c r="K42" s="550">
        <f t="shared" ref="K42:K49" si="9">SUM(D42:J42)</f>
        <v>15</v>
      </c>
      <c r="L42" s="463"/>
    </row>
    <row r="43" spans="2:12" ht="15" x14ac:dyDescent="0.25">
      <c r="B43" s="545"/>
      <c r="C43" s="549">
        <v>5</v>
      </c>
      <c r="D43" s="549">
        <v>274</v>
      </c>
      <c r="E43" s="549">
        <v>7</v>
      </c>
      <c r="F43" s="549"/>
      <c r="G43" s="549"/>
      <c r="H43" s="549"/>
      <c r="I43" s="549"/>
      <c r="J43" s="549"/>
      <c r="K43" s="550">
        <f t="shared" si="9"/>
        <v>281</v>
      </c>
      <c r="L43" s="556"/>
    </row>
    <row r="44" spans="2:12" ht="15" x14ac:dyDescent="0.25">
      <c r="B44" s="545"/>
      <c r="C44" s="549">
        <v>6</v>
      </c>
      <c r="D44" s="549">
        <v>44</v>
      </c>
      <c r="E44" s="549">
        <v>315</v>
      </c>
      <c r="F44" s="549">
        <v>5</v>
      </c>
      <c r="G44" s="549"/>
      <c r="H44" s="549"/>
      <c r="I44" s="549"/>
      <c r="J44" s="549"/>
      <c r="K44" s="550">
        <f t="shared" si="9"/>
        <v>364</v>
      </c>
      <c r="L44" s="556"/>
    </row>
    <row r="45" spans="2:12" ht="15" x14ac:dyDescent="0.25">
      <c r="B45" s="545"/>
      <c r="C45" s="549">
        <v>7</v>
      </c>
      <c r="D45" s="549">
        <v>1</v>
      </c>
      <c r="E45" s="549">
        <v>54</v>
      </c>
      <c r="F45" s="549">
        <v>300</v>
      </c>
      <c r="G45" s="549">
        <v>17</v>
      </c>
      <c r="H45" s="549"/>
      <c r="I45" s="549"/>
      <c r="J45" s="549"/>
      <c r="K45" s="550">
        <f t="shared" si="9"/>
        <v>372</v>
      </c>
      <c r="L45" s="545"/>
    </row>
    <row r="46" spans="2:12" s="450" customFormat="1" ht="15" customHeight="1" x14ac:dyDescent="0.25">
      <c r="B46" s="557"/>
      <c r="C46" s="549">
        <v>8</v>
      </c>
      <c r="D46" s="549"/>
      <c r="E46" s="549">
        <v>1</v>
      </c>
      <c r="F46" s="549">
        <v>62</v>
      </c>
      <c r="G46" s="549">
        <v>341</v>
      </c>
      <c r="H46" s="549">
        <v>8</v>
      </c>
      <c r="I46" s="549"/>
      <c r="J46" s="549"/>
      <c r="K46" s="550">
        <f t="shared" si="9"/>
        <v>412</v>
      </c>
      <c r="L46" s="545"/>
    </row>
    <row r="47" spans="2:12" s="450" customFormat="1" ht="15" customHeight="1" x14ac:dyDescent="0.25">
      <c r="B47" s="557"/>
      <c r="C47" s="549">
        <v>9</v>
      </c>
      <c r="D47" s="549"/>
      <c r="E47" s="549"/>
      <c r="F47" s="549"/>
      <c r="G47" s="549">
        <v>44</v>
      </c>
      <c r="H47" s="549">
        <v>306</v>
      </c>
      <c r="I47" s="549">
        <v>11</v>
      </c>
      <c r="J47" s="549"/>
      <c r="K47" s="550">
        <f t="shared" si="9"/>
        <v>361</v>
      </c>
      <c r="L47" s="545"/>
    </row>
    <row r="48" spans="2:12" s="450" customFormat="1" ht="15" x14ac:dyDescent="0.25">
      <c r="B48" s="541"/>
      <c r="C48" s="549">
        <v>10</v>
      </c>
      <c r="D48" s="549"/>
      <c r="E48" s="549"/>
      <c r="F48" s="549"/>
      <c r="G48" s="549">
        <v>4</v>
      </c>
      <c r="H48" s="549">
        <v>55</v>
      </c>
      <c r="I48" s="549">
        <v>319</v>
      </c>
      <c r="J48" s="549">
        <v>16</v>
      </c>
      <c r="K48" s="550">
        <f t="shared" si="9"/>
        <v>394</v>
      </c>
      <c r="L48" s="558"/>
    </row>
    <row r="49" spans="2:12" s="450" customFormat="1" ht="15" x14ac:dyDescent="0.25">
      <c r="B49" s="541"/>
      <c r="C49" s="549">
        <v>11</v>
      </c>
      <c r="D49" s="549"/>
      <c r="E49" s="549"/>
      <c r="F49" s="549"/>
      <c r="G49" s="549"/>
      <c r="H49" s="549">
        <v>3</v>
      </c>
      <c r="I49" s="549">
        <v>62</v>
      </c>
      <c r="J49" s="549">
        <v>14</v>
      </c>
      <c r="K49" s="550">
        <f t="shared" si="9"/>
        <v>79</v>
      </c>
      <c r="L49" s="544"/>
    </row>
    <row r="50" spans="2:12" ht="15" x14ac:dyDescent="0.25">
      <c r="B50" s="545"/>
      <c r="C50" s="549">
        <v>12</v>
      </c>
      <c r="D50" s="549"/>
      <c r="E50" s="549"/>
      <c r="F50" s="549"/>
      <c r="G50" s="549"/>
      <c r="H50" s="549"/>
      <c r="I50" s="549"/>
      <c r="J50" s="549"/>
      <c r="K50" s="550"/>
      <c r="L50" s="463"/>
    </row>
    <row r="51" spans="2:12" ht="15" x14ac:dyDescent="0.25">
      <c r="B51" s="545"/>
      <c r="C51" s="549">
        <v>13</v>
      </c>
      <c r="D51" s="549"/>
      <c r="E51" s="549"/>
      <c r="F51" s="549"/>
      <c r="G51" s="549"/>
      <c r="H51" s="549"/>
      <c r="I51" s="549"/>
      <c r="J51" s="549"/>
      <c r="K51" s="550"/>
      <c r="L51" s="463"/>
    </row>
    <row r="52" spans="2:12" ht="15" x14ac:dyDescent="0.25">
      <c r="B52" s="545"/>
      <c r="C52" s="549">
        <v>14</v>
      </c>
      <c r="D52" s="549"/>
      <c r="E52" s="549"/>
      <c r="F52" s="549"/>
      <c r="G52" s="549"/>
      <c r="H52" s="549"/>
      <c r="I52" s="549"/>
      <c r="J52" s="549"/>
      <c r="K52" s="550"/>
      <c r="L52" s="463"/>
    </row>
    <row r="53" spans="2:12" x14ac:dyDescent="0.2">
      <c r="B53" s="545"/>
      <c r="C53" s="479" t="s">
        <v>25</v>
      </c>
      <c r="D53" s="479">
        <f>SUM(D42:D52)</f>
        <v>334</v>
      </c>
      <c r="E53" s="479">
        <f>SUM(E42:E52)</f>
        <v>377</v>
      </c>
      <c r="F53" s="479">
        <f t="shared" ref="F53:K53" si="10">SUM(F42:F52)</f>
        <v>367</v>
      </c>
      <c r="G53" s="479">
        <f t="shared" si="10"/>
        <v>406</v>
      </c>
      <c r="H53" s="479">
        <f t="shared" si="10"/>
        <v>372</v>
      </c>
      <c r="I53" s="479">
        <f t="shared" si="10"/>
        <v>392</v>
      </c>
      <c r="J53" s="479">
        <f t="shared" si="10"/>
        <v>30</v>
      </c>
      <c r="K53" s="479">
        <f t="shared" si="10"/>
        <v>2278</v>
      </c>
      <c r="L53" s="556"/>
    </row>
    <row r="54" spans="2:12" x14ac:dyDescent="0.2">
      <c r="B54" s="545"/>
      <c r="C54" s="463"/>
      <c r="D54" s="463"/>
      <c r="E54" s="556"/>
      <c r="F54" s="463"/>
      <c r="G54" s="463"/>
      <c r="H54" s="556"/>
      <c r="I54" s="463"/>
      <c r="J54" s="463"/>
      <c r="K54" s="463"/>
      <c r="L54" s="556"/>
    </row>
    <row r="55" spans="2:12" x14ac:dyDescent="0.2">
      <c r="C55" s="423" t="s">
        <v>211</v>
      </c>
      <c r="D55" s="457"/>
      <c r="L55" s="472"/>
    </row>
    <row r="56" spans="2:12" x14ac:dyDescent="0.2">
      <c r="B56" s="473"/>
      <c r="C56" s="473"/>
      <c r="L56" s="473"/>
    </row>
    <row r="57" spans="2:12" ht="44.25" customHeight="1" x14ac:dyDescent="0.2">
      <c r="B57" s="473"/>
      <c r="C57" s="738" t="s">
        <v>335</v>
      </c>
      <c r="D57" s="738"/>
      <c r="E57" s="738"/>
      <c r="F57" s="738"/>
      <c r="G57" s="738"/>
      <c r="H57" s="738"/>
      <c r="I57" s="738"/>
      <c r="J57" s="738"/>
      <c r="K57" s="738"/>
      <c r="L57" s="473"/>
    </row>
    <row r="58" spans="2:12" ht="13.5" customHeight="1" x14ac:dyDescent="0.2">
      <c r="B58" s="473"/>
      <c r="C58" s="738"/>
      <c r="D58" s="738"/>
      <c r="E58" s="738"/>
      <c r="F58" s="738"/>
      <c r="G58" s="738"/>
      <c r="H58" s="738"/>
      <c r="I58" s="738"/>
      <c r="J58" s="738"/>
      <c r="K58" s="738"/>
      <c r="L58" s="473"/>
    </row>
    <row r="59" spans="2:12" x14ac:dyDescent="0.2">
      <c r="B59" s="299"/>
      <c r="C59" s="299"/>
      <c r="D59" s="299"/>
      <c r="E59" s="299"/>
      <c r="F59" s="299"/>
      <c r="G59" s="299"/>
      <c r="H59" s="299"/>
      <c r="I59" s="299"/>
      <c r="J59" s="299"/>
      <c r="K59" s="299"/>
      <c r="L59" s="299"/>
    </row>
    <row r="60" spans="2:12" x14ac:dyDescent="0.2">
      <c r="B60" s="559">
        <v>30</v>
      </c>
      <c r="C60" s="746"/>
      <c r="D60" s="746"/>
      <c r="E60" s="746"/>
      <c r="F60" s="746"/>
      <c r="G60" s="746"/>
      <c r="H60" s="746"/>
      <c r="I60" s="746"/>
      <c r="J60" s="746"/>
      <c r="K60" s="746"/>
      <c r="L60" s="559"/>
    </row>
  </sheetData>
  <mergeCells count="4">
    <mergeCell ref="B6:L6"/>
    <mergeCell ref="C57:K57"/>
    <mergeCell ref="C58:K58"/>
    <mergeCell ref="C60:K60"/>
  </mergeCells>
  <pageMargins left="0.7" right="0.7" top="0.75" bottom="0.75" header="0.3" footer="0.3"/>
  <pageSetup scale="61" orientation="portrait" r:id="rId1"/>
  <ignoredErrors>
    <ignoredError sqref="K27:K34 K42:K49" formulaRange="1"/>
    <ignoredError sqref="H23" formula="1"/>
  </ignoredErrors>
  <drawing r:id="rId2"/>
  <legacyDrawing r:id="rId3"/>
  <oleObjects>
    <mc:AlternateContent xmlns:mc="http://schemas.openxmlformats.org/markup-compatibility/2006">
      <mc:Choice Requires="x14">
        <oleObject progId="MSPhotoEd.3" shapeId="36868" r:id="rId4">
          <objectPr defaultSize="0" autoPict="0" r:id="rId5">
            <anchor moveWithCells="1" sizeWithCells="1">
              <from>
                <xdr:col>1</xdr:col>
                <xdr:colOff>9525</xdr:colOff>
                <xdr:row>0</xdr:row>
                <xdr:rowOff>28575</xdr:rowOff>
              </from>
              <to>
                <xdr:col>1</xdr:col>
                <xdr:colOff>647700</xdr:colOff>
                <xdr:row>1</xdr:row>
                <xdr:rowOff>133350</xdr:rowOff>
              </to>
            </anchor>
          </objectPr>
        </oleObject>
      </mc:Choice>
      <mc:Fallback>
        <oleObject progId="MSPhotoEd.3" shapeId="36868"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2"/>
  <sheetViews>
    <sheetView zoomScaleNormal="100" workbookViewId="0">
      <selection activeCell="J3" sqref="J3"/>
    </sheetView>
  </sheetViews>
  <sheetFormatPr defaultRowHeight="12.75" x14ac:dyDescent="0.2"/>
  <cols>
    <col min="1" max="10" width="9.140625" style="29"/>
    <col min="11" max="11" width="9.5703125" style="29" bestFit="1" customWidth="1"/>
    <col min="12" max="16384" width="9.140625" style="29"/>
  </cols>
  <sheetData>
    <row r="1" spans="1:12" ht="14.25" x14ac:dyDescent="0.2">
      <c r="A1" s="301"/>
      <c r="B1" s="301"/>
      <c r="C1" s="301"/>
      <c r="D1" s="301"/>
      <c r="E1" s="301"/>
      <c r="F1" s="301"/>
      <c r="G1" s="301"/>
      <c r="H1" s="301"/>
      <c r="I1" s="301"/>
      <c r="J1" s="301"/>
      <c r="K1" s="301"/>
      <c r="L1" s="301"/>
    </row>
    <row r="2" spans="1:12" ht="14.25" x14ac:dyDescent="0.2">
      <c r="A2" s="301"/>
      <c r="B2" s="301"/>
      <c r="C2" s="301"/>
      <c r="D2" s="301"/>
      <c r="E2" s="301"/>
      <c r="F2" s="301"/>
      <c r="G2" s="301"/>
      <c r="H2" s="301"/>
      <c r="I2" s="301"/>
      <c r="J2" s="301"/>
      <c r="K2" s="301"/>
      <c r="L2" s="301"/>
    </row>
    <row r="3" spans="1:12" ht="15" x14ac:dyDescent="0.25">
      <c r="A3" s="301"/>
      <c r="B3" s="301"/>
      <c r="C3" s="301"/>
      <c r="D3" s="301"/>
      <c r="E3" s="301"/>
      <c r="F3" s="301"/>
      <c r="G3" s="301"/>
      <c r="H3" s="301"/>
      <c r="I3" s="301"/>
      <c r="J3" s="403" t="s">
        <v>374</v>
      </c>
      <c r="K3" s="301"/>
      <c r="L3" s="301"/>
    </row>
    <row r="4" spans="1:12" x14ac:dyDescent="0.2">
      <c r="A4" s="299"/>
      <c r="B4" s="299"/>
      <c r="C4" s="299"/>
      <c r="D4" s="299"/>
      <c r="E4" s="299"/>
      <c r="F4" s="299"/>
      <c r="G4" s="299"/>
      <c r="H4" s="299"/>
      <c r="I4" s="299"/>
      <c r="J4" s="299"/>
      <c r="K4" s="299"/>
      <c r="L4" s="299"/>
    </row>
    <row r="5" spans="1:12" ht="15.75" x14ac:dyDescent="0.25">
      <c r="A5" s="736" t="s">
        <v>368</v>
      </c>
      <c r="B5" s="736"/>
      <c r="C5" s="736"/>
      <c r="D5" s="736"/>
      <c r="E5" s="736"/>
      <c r="F5" s="736"/>
      <c r="G5" s="736"/>
      <c r="H5" s="736"/>
      <c r="I5" s="736"/>
      <c r="J5" s="736"/>
      <c r="K5" s="736"/>
      <c r="L5" s="736"/>
    </row>
    <row r="6" spans="1:12" ht="15.75" x14ac:dyDescent="0.25">
      <c r="A6" s="404"/>
      <c r="B6" s="404"/>
      <c r="C6" s="404"/>
      <c r="D6" s="404"/>
      <c r="E6" s="404"/>
      <c r="F6" s="404"/>
      <c r="G6" s="404"/>
      <c r="H6" s="404"/>
      <c r="I6" s="404"/>
      <c r="J6" s="404"/>
      <c r="K6" s="404"/>
      <c r="L6" s="449"/>
    </row>
    <row r="7" spans="1:12" ht="15" x14ac:dyDescent="0.25">
      <c r="A7" s="747" t="s">
        <v>343</v>
      </c>
      <c r="B7" s="747"/>
      <c r="C7" s="747"/>
      <c r="D7" s="747"/>
      <c r="E7" s="747"/>
      <c r="F7" s="747"/>
      <c r="G7" s="747"/>
      <c r="H7" s="747"/>
      <c r="I7" s="747"/>
      <c r="J7" s="747"/>
      <c r="K7" s="747"/>
      <c r="L7" s="747"/>
    </row>
    <row r="8" spans="1:12" ht="15" x14ac:dyDescent="0.25">
      <c r="A8" s="540"/>
      <c r="B8" s="540"/>
      <c r="C8" s="540"/>
      <c r="D8" s="301"/>
      <c r="E8" s="301"/>
      <c r="F8" s="301"/>
      <c r="G8" s="301"/>
      <c r="H8" s="301"/>
      <c r="I8" s="301"/>
      <c r="J8" s="301"/>
      <c r="K8" s="301"/>
      <c r="L8" s="301"/>
    </row>
    <row r="9" spans="1:12" ht="15" x14ac:dyDescent="0.25">
      <c r="A9" s="541"/>
      <c r="B9" s="541"/>
      <c r="C9" s="542" t="s">
        <v>25</v>
      </c>
      <c r="D9" s="543"/>
      <c r="E9" s="543"/>
      <c r="F9" s="543"/>
      <c r="G9" s="543"/>
      <c r="H9" s="543"/>
      <c r="I9" s="543"/>
      <c r="J9" s="543"/>
      <c r="K9" s="543"/>
      <c r="L9" s="544"/>
    </row>
    <row r="10" spans="1:12" ht="15" x14ac:dyDescent="0.25">
      <c r="A10" s="545"/>
      <c r="B10" s="545"/>
      <c r="C10" s="546" t="s">
        <v>269</v>
      </c>
      <c r="D10" s="548" t="s">
        <v>270</v>
      </c>
      <c r="E10" s="548" t="s">
        <v>271</v>
      </c>
      <c r="F10" s="548" t="s">
        <v>272</v>
      </c>
      <c r="G10" s="548" t="s">
        <v>273</v>
      </c>
      <c r="H10" s="548" t="s">
        <v>274</v>
      </c>
      <c r="I10" s="548" t="s">
        <v>275</v>
      </c>
      <c r="J10" s="548" t="s">
        <v>276</v>
      </c>
      <c r="K10" s="548" t="s">
        <v>25</v>
      </c>
      <c r="L10" s="463"/>
    </row>
    <row r="11" spans="1:12" ht="15" hidden="1" x14ac:dyDescent="0.25">
      <c r="A11" s="545"/>
      <c r="B11" s="545"/>
      <c r="C11" s="546">
        <v>9</v>
      </c>
      <c r="D11" s="549"/>
      <c r="E11" s="549"/>
      <c r="F11" s="549"/>
      <c r="G11" s="549"/>
      <c r="H11" s="549"/>
      <c r="I11" s="549"/>
      <c r="J11" s="549"/>
      <c r="K11" s="549"/>
      <c r="L11" s="463"/>
    </row>
    <row r="12" spans="1:12" ht="15" x14ac:dyDescent="0.25">
      <c r="A12" s="545"/>
      <c r="B12" s="545"/>
      <c r="C12" s="549">
        <v>10</v>
      </c>
      <c r="D12" s="549">
        <f t="shared" ref="D12:K12" si="0">SUM(D45,D28)</f>
        <v>14</v>
      </c>
      <c r="E12" s="549"/>
      <c r="F12" s="549"/>
      <c r="G12" s="549"/>
      <c r="H12" s="549"/>
      <c r="I12" s="549"/>
      <c r="J12" s="549"/>
      <c r="K12" s="550">
        <f t="shared" si="0"/>
        <v>14</v>
      </c>
      <c r="L12" s="463"/>
    </row>
    <row r="13" spans="1:12" ht="15" x14ac:dyDescent="0.25">
      <c r="A13" s="545"/>
      <c r="B13" s="545"/>
      <c r="C13" s="549">
        <v>11</v>
      </c>
      <c r="D13" s="549">
        <f t="shared" ref="D13:K13" si="1">SUM(D46,D29)</f>
        <v>482</v>
      </c>
      <c r="E13" s="549">
        <f t="shared" si="1"/>
        <v>39</v>
      </c>
      <c r="F13" s="549"/>
      <c r="G13" s="549"/>
      <c r="H13" s="549"/>
      <c r="I13" s="549"/>
      <c r="J13" s="549"/>
      <c r="K13" s="550">
        <f t="shared" si="1"/>
        <v>521</v>
      </c>
      <c r="L13" s="463"/>
    </row>
    <row r="14" spans="1:12" ht="15" x14ac:dyDescent="0.25">
      <c r="A14" s="545"/>
      <c r="B14" s="545"/>
      <c r="C14" s="549">
        <v>12</v>
      </c>
      <c r="D14" s="549">
        <f t="shared" ref="D14:K14" si="2">SUM(D47,D30)</f>
        <v>47</v>
      </c>
      <c r="E14" s="549">
        <f t="shared" si="2"/>
        <v>352</v>
      </c>
      <c r="F14" s="549">
        <f t="shared" si="2"/>
        <v>116</v>
      </c>
      <c r="G14" s="549"/>
      <c r="H14" s="549"/>
      <c r="I14" s="549"/>
      <c r="J14" s="549"/>
      <c r="K14" s="550">
        <f t="shared" si="2"/>
        <v>515</v>
      </c>
      <c r="L14" s="463"/>
    </row>
    <row r="15" spans="1:12" ht="15" x14ac:dyDescent="0.25">
      <c r="A15" s="545"/>
      <c r="B15" s="545"/>
      <c r="C15" s="549">
        <v>13</v>
      </c>
      <c r="D15" s="549">
        <f t="shared" ref="D15:K15" si="3">SUM(D48,D31)</f>
        <v>0</v>
      </c>
      <c r="E15" s="549">
        <f t="shared" si="3"/>
        <v>169</v>
      </c>
      <c r="F15" s="549">
        <f t="shared" si="3"/>
        <v>447</v>
      </c>
      <c r="G15" s="549">
        <f t="shared" si="3"/>
        <v>130</v>
      </c>
      <c r="H15" s="549"/>
      <c r="I15" s="549"/>
      <c r="J15" s="549"/>
      <c r="K15" s="550">
        <f t="shared" si="3"/>
        <v>746</v>
      </c>
      <c r="L15" s="463"/>
    </row>
    <row r="16" spans="1:12" ht="15" x14ac:dyDescent="0.25">
      <c r="A16" s="545"/>
      <c r="B16" s="545"/>
      <c r="C16" s="549">
        <v>14</v>
      </c>
      <c r="D16" s="549"/>
      <c r="E16" s="549">
        <f t="shared" ref="E16:K16" si="4">SUM(E49,E32)</f>
        <v>10</v>
      </c>
      <c r="F16" s="549">
        <f t="shared" si="4"/>
        <v>52</v>
      </c>
      <c r="G16" s="549">
        <f t="shared" si="4"/>
        <v>444</v>
      </c>
      <c r="H16" s="549">
        <f t="shared" si="4"/>
        <v>97</v>
      </c>
      <c r="I16" s="549"/>
      <c r="J16" s="549"/>
      <c r="K16" s="550">
        <f t="shared" si="4"/>
        <v>603</v>
      </c>
      <c r="L16" s="463"/>
    </row>
    <row r="17" spans="1:12" ht="15" x14ac:dyDescent="0.25">
      <c r="A17" s="545"/>
      <c r="B17" s="545"/>
      <c r="C17" s="549">
        <v>15</v>
      </c>
      <c r="D17" s="549"/>
      <c r="E17" s="549"/>
      <c r="F17" s="549">
        <f t="shared" ref="F17:K17" si="5">SUM(F50,F33)</f>
        <v>1</v>
      </c>
      <c r="G17" s="549">
        <f t="shared" si="5"/>
        <v>65</v>
      </c>
      <c r="H17" s="549">
        <f t="shared" si="5"/>
        <v>396</v>
      </c>
      <c r="I17" s="549">
        <f t="shared" si="5"/>
        <v>103</v>
      </c>
      <c r="J17" s="549"/>
      <c r="K17" s="550">
        <f t="shared" si="5"/>
        <v>565</v>
      </c>
      <c r="L17" s="463"/>
    </row>
    <row r="18" spans="1:12" ht="15" x14ac:dyDescent="0.25">
      <c r="A18" s="545"/>
      <c r="B18" s="545"/>
      <c r="C18" s="549">
        <v>16</v>
      </c>
      <c r="D18" s="549">
        <f t="shared" ref="D18:K18" si="6">SUM(D51,D34)</f>
        <v>0</v>
      </c>
      <c r="E18" s="549"/>
      <c r="F18" s="549"/>
      <c r="G18" s="549">
        <f t="shared" si="6"/>
        <v>2</v>
      </c>
      <c r="H18" s="549">
        <f t="shared" si="6"/>
        <v>49</v>
      </c>
      <c r="I18" s="549">
        <f t="shared" si="6"/>
        <v>382</v>
      </c>
      <c r="J18" s="549">
        <f t="shared" si="6"/>
        <v>10</v>
      </c>
      <c r="K18" s="550">
        <f t="shared" si="6"/>
        <v>443</v>
      </c>
      <c r="L18" s="463"/>
    </row>
    <row r="19" spans="1:12" ht="15" x14ac:dyDescent="0.25">
      <c r="A19" s="545"/>
      <c r="B19" s="545"/>
      <c r="C19" s="549">
        <v>17</v>
      </c>
      <c r="D19" s="549"/>
      <c r="E19" s="549"/>
      <c r="F19" s="549"/>
      <c r="G19" s="549"/>
      <c r="H19" s="549">
        <f t="shared" ref="H19:K19" si="7">SUM(H52,H35)</f>
        <v>3</v>
      </c>
      <c r="I19" s="549">
        <f t="shared" si="7"/>
        <v>65</v>
      </c>
      <c r="J19" s="549">
        <f t="shared" si="7"/>
        <v>73</v>
      </c>
      <c r="K19" s="550">
        <f t="shared" si="7"/>
        <v>141</v>
      </c>
      <c r="L19" s="463"/>
    </row>
    <row r="20" spans="1:12" ht="15" x14ac:dyDescent="0.25">
      <c r="A20" s="545"/>
      <c r="B20" s="545"/>
      <c r="C20" s="549">
        <v>18</v>
      </c>
      <c r="D20" s="549"/>
      <c r="E20" s="549"/>
      <c r="F20" s="549"/>
      <c r="G20" s="549"/>
      <c r="H20" s="549"/>
      <c r="I20" s="549">
        <f t="shared" ref="I20:K20" si="8">SUM(I53,I36)</f>
        <v>7</v>
      </c>
      <c r="J20" s="549">
        <f t="shared" si="8"/>
        <v>12</v>
      </c>
      <c r="K20" s="550">
        <f t="shared" si="8"/>
        <v>19</v>
      </c>
      <c r="L20" s="463"/>
    </row>
    <row r="21" spans="1:12" ht="15" hidden="1" x14ac:dyDescent="0.25">
      <c r="A21" s="545"/>
      <c r="B21" s="545"/>
      <c r="C21" s="549">
        <v>19</v>
      </c>
      <c r="D21" s="549"/>
      <c r="E21" s="549"/>
      <c r="F21" s="549"/>
      <c r="G21" s="549"/>
      <c r="H21" s="549"/>
      <c r="I21" s="549"/>
      <c r="J21" s="549"/>
      <c r="K21" s="549"/>
      <c r="L21" s="463"/>
    </row>
    <row r="22" spans="1:12" ht="15" hidden="1" x14ac:dyDescent="0.25">
      <c r="A22" s="545"/>
      <c r="B22" s="545"/>
      <c r="C22" s="549">
        <v>20</v>
      </c>
      <c r="D22" s="549"/>
      <c r="E22" s="549"/>
      <c r="F22" s="549"/>
      <c r="G22" s="549"/>
      <c r="H22" s="549"/>
      <c r="I22" s="549"/>
      <c r="J22" s="549"/>
      <c r="K22" s="549"/>
      <c r="L22" s="463"/>
    </row>
    <row r="23" spans="1:12" ht="15" x14ac:dyDescent="0.25">
      <c r="A23" s="545"/>
      <c r="B23" s="545"/>
      <c r="C23" s="550" t="s">
        <v>25</v>
      </c>
      <c r="D23" s="550">
        <f t="shared" ref="D23:I23" si="9">SUM(D57,D40)</f>
        <v>543</v>
      </c>
      <c r="E23" s="550">
        <f t="shared" si="9"/>
        <v>570</v>
      </c>
      <c r="F23" s="550">
        <f t="shared" si="9"/>
        <v>616</v>
      </c>
      <c r="G23" s="550">
        <f t="shared" si="9"/>
        <v>641</v>
      </c>
      <c r="H23" s="550">
        <f t="shared" si="9"/>
        <v>545</v>
      </c>
      <c r="I23" s="550">
        <f t="shared" si="9"/>
        <v>557</v>
      </c>
      <c r="J23" s="550">
        <f>SUM(J18:J20)</f>
        <v>95</v>
      </c>
      <c r="K23" s="550">
        <f>SUM(D23:J23)</f>
        <v>3567</v>
      </c>
      <c r="L23" s="463"/>
    </row>
    <row r="24" spans="1:12" ht="15" x14ac:dyDescent="0.25">
      <c r="A24" s="545"/>
      <c r="B24" s="545"/>
      <c r="C24" s="551"/>
      <c r="D24" s="551"/>
      <c r="E24" s="551"/>
      <c r="F24" s="551"/>
      <c r="G24" s="551"/>
      <c r="H24" s="551"/>
      <c r="I24" s="551"/>
      <c r="J24" s="551"/>
      <c r="K24" s="551"/>
      <c r="L24" s="463"/>
    </row>
    <row r="25" spans="1:12" ht="15" x14ac:dyDescent="0.25">
      <c r="A25" s="557"/>
      <c r="B25" s="557"/>
      <c r="C25" s="542" t="s">
        <v>27</v>
      </c>
      <c r="D25" s="543"/>
      <c r="E25" s="543"/>
      <c r="F25" s="543"/>
      <c r="G25" s="543"/>
      <c r="H25" s="543"/>
      <c r="I25" s="543"/>
      <c r="J25" s="543"/>
      <c r="K25" s="543"/>
      <c r="L25" s="545"/>
    </row>
    <row r="26" spans="1:12" ht="15" x14ac:dyDescent="0.25">
      <c r="A26" s="541"/>
      <c r="B26" s="541"/>
      <c r="C26" s="546" t="s">
        <v>269</v>
      </c>
      <c r="D26" s="548" t="s">
        <v>270</v>
      </c>
      <c r="E26" s="548" t="s">
        <v>271</v>
      </c>
      <c r="F26" s="548" t="s">
        <v>272</v>
      </c>
      <c r="G26" s="548" t="s">
        <v>273</v>
      </c>
      <c r="H26" s="548" t="s">
        <v>274</v>
      </c>
      <c r="I26" s="548" t="s">
        <v>275</v>
      </c>
      <c r="J26" s="548" t="s">
        <v>276</v>
      </c>
      <c r="K26" s="548" t="s">
        <v>25</v>
      </c>
      <c r="L26" s="558"/>
    </row>
    <row r="27" spans="1:12" ht="15" hidden="1" x14ac:dyDescent="0.25">
      <c r="A27" s="541"/>
      <c r="B27" s="541"/>
      <c r="C27" s="546">
        <v>9</v>
      </c>
      <c r="D27" s="560"/>
      <c r="E27" s="548"/>
      <c r="F27" s="548"/>
      <c r="G27" s="548"/>
      <c r="H27" s="548"/>
      <c r="I27" s="548"/>
      <c r="J27" s="548"/>
      <c r="K27" s="548">
        <f>SUM(D27:J27)</f>
        <v>0</v>
      </c>
      <c r="L27" s="558"/>
    </row>
    <row r="28" spans="1:12" ht="15" x14ac:dyDescent="0.25">
      <c r="A28" s="541"/>
      <c r="B28" s="541"/>
      <c r="C28" s="549">
        <v>10</v>
      </c>
      <c r="D28" s="549">
        <v>10</v>
      </c>
      <c r="E28" s="549"/>
      <c r="F28" s="549"/>
      <c r="G28" s="549"/>
      <c r="H28" s="549"/>
      <c r="I28" s="549"/>
      <c r="J28" s="549"/>
      <c r="K28" s="548">
        <f t="shared" ref="K28:K40" si="10">SUM(D28:J28)</f>
        <v>10</v>
      </c>
      <c r="L28" s="544"/>
    </row>
    <row r="29" spans="1:12" ht="15" x14ac:dyDescent="0.25">
      <c r="A29" s="545"/>
      <c r="B29" s="545"/>
      <c r="C29" s="549">
        <v>11</v>
      </c>
      <c r="D29" s="549">
        <v>231</v>
      </c>
      <c r="E29" s="549">
        <v>30</v>
      </c>
      <c r="F29" s="549"/>
      <c r="G29" s="549"/>
      <c r="H29" s="549"/>
      <c r="I29" s="549"/>
      <c r="J29" s="549"/>
      <c r="K29" s="548">
        <f t="shared" si="10"/>
        <v>261</v>
      </c>
      <c r="L29" s="463"/>
    </row>
    <row r="30" spans="1:12" ht="15" x14ac:dyDescent="0.25">
      <c r="A30" s="545"/>
      <c r="B30" s="545"/>
      <c r="C30" s="549">
        <v>12</v>
      </c>
      <c r="D30" s="549">
        <v>14</v>
      </c>
      <c r="E30" s="549">
        <v>246</v>
      </c>
      <c r="F30" s="549">
        <v>60</v>
      </c>
      <c r="G30" s="549"/>
      <c r="H30" s="549"/>
      <c r="I30" s="549"/>
      <c r="J30" s="549"/>
      <c r="K30" s="548">
        <f t="shared" si="10"/>
        <v>320</v>
      </c>
      <c r="L30" s="463"/>
    </row>
    <row r="31" spans="1:12" ht="15" x14ac:dyDescent="0.25">
      <c r="A31" s="545"/>
      <c r="B31" s="545"/>
      <c r="C31" s="549">
        <v>13</v>
      </c>
      <c r="D31" s="549"/>
      <c r="E31" s="549">
        <v>9</v>
      </c>
      <c r="F31" s="549">
        <v>218</v>
      </c>
      <c r="G31" s="549">
        <v>64</v>
      </c>
      <c r="H31" s="549"/>
      <c r="I31" s="549"/>
      <c r="J31" s="549"/>
      <c r="K31" s="548">
        <f t="shared" si="10"/>
        <v>291</v>
      </c>
      <c r="L31" s="463"/>
    </row>
    <row r="32" spans="1:12" ht="15" x14ac:dyDescent="0.25">
      <c r="A32" s="545"/>
      <c r="B32" s="545"/>
      <c r="C32" s="549">
        <v>14</v>
      </c>
      <c r="D32" s="549"/>
      <c r="E32" s="549"/>
      <c r="F32" s="549">
        <v>18</v>
      </c>
      <c r="G32" s="549">
        <v>246</v>
      </c>
      <c r="H32" s="549">
        <v>46</v>
      </c>
      <c r="I32" s="549"/>
      <c r="J32" s="549"/>
      <c r="K32" s="548">
        <f t="shared" si="10"/>
        <v>310</v>
      </c>
      <c r="L32" s="463"/>
    </row>
    <row r="33" spans="1:12" ht="15" x14ac:dyDescent="0.25">
      <c r="A33" s="545"/>
      <c r="B33" s="545"/>
      <c r="C33" s="549">
        <v>15</v>
      </c>
      <c r="D33" s="549"/>
      <c r="E33" s="549"/>
      <c r="F33" s="549"/>
      <c r="G33" s="549">
        <v>30</v>
      </c>
      <c r="H33" s="549">
        <v>207</v>
      </c>
      <c r="I33" s="549">
        <v>50</v>
      </c>
      <c r="J33" s="549"/>
      <c r="K33" s="548">
        <f t="shared" si="10"/>
        <v>287</v>
      </c>
      <c r="L33" s="463"/>
    </row>
    <row r="34" spans="1:12" ht="15" x14ac:dyDescent="0.25">
      <c r="A34" s="545"/>
      <c r="B34" s="545"/>
      <c r="C34" s="549">
        <v>16</v>
      </c>
      <c r="D34" s="549"/>
      <c r="E34" s="549"/>
      <c r="F34" s="549"/>
      <c r="G34" s="549">
        <v>1</v>
      </c>
      <c r="H34" s="549">
        <v>18</v>
      </c>
      <c r="I34" s="549">
        <v>204</v>
      </c>
      <c r="J34" s="549">
        <v>3</v>
      </c>
      <c r="K34" s="548">
        <f t="shared" si="10"/>
        <v>226</v>
      </c>
      <c r="L34" s="463"/>
    </row>
    <row r="35" spans="1:12" ht="15" x14ac:dyDescent="0.25">
      <c r="A35" s="545"/>
      <c r="B35" s="545"/>
      <c r="C35" s="549">
        <v>17</v>
      </c>
      <c r="D35" s="549"/>
      <c r="E35" s="549"/>
      <c r="F35" s="549"/>
      <c r="G35" s="549"/>
      <c r="H35" s="549">
        <v>2</v>
      </c>
      <c r="I35" s="549">
        <v>29</v>
      </c>
      <c r="J35" s="549">
        <v>43</v>
      </c>
      <c r="K35" s="548">
        <f t="shared" si="10"/>
        <v>74</v>
      </c>
      <c r="L35" s="463"/>
    </row>
    <row r="36" spans="1:12" ht="15" x14ac:dyDescent="0.25">
      <c r="A36" s="545"/>
      <c r="B36" s="545"/>
      <c r="C36" s="549">
        <v>18</v>
      </c>
      <c r="D36" s="549"/>
      <c r="E36" s="549"/>
      <c r="F36" s="549"/>
      <c r="G36" s="549"/>
      <c r="H36" s="549"/>
      <c r="I36" s="549">
        <v>1</v>
      </c>
      <c r="J36" s="549">
        <v>8</v>
      </c>
      <c r="K36" s="548">
        <f t="shared" si="10"/>
        <v>9</v>
      </c>
      <c r="L36" s="463"/>
    </row>
    <row r="37" spans="1:12" ht="15" hidden="1" x14ac:dyDescent="0.25">
      <c r="A37" s="545"/>
      <c r="B37" s="545"/>
      <c r="C37" s="549">
        <v>19</v>
      </c>
      <c r="D37" s="549"/>
      <c r="E37" s="549"/>
      <c r="F37" s="549"/>
      <c r="G37" s="549"/>
      <c r="H37" s="549"/>
      <c r="I37" s="549"/>
      <c r="J37" s="549"/>
      <c r="K37" s="548">
        <f t="shared" si="10"/>
        <v>0</v>
      </c>
      <c r="L37" s="463"/>
    </row>
    <row r="38" spans="1:12" ht="15" hidden="1" x14ac:dyDescent="0.25">
      <c r="A38" s="545"/>
      <c r="B38" s="545"/>
      <c r="C38" s="549">
        <v>20</v>
      </c>
      <c r="D38" s="549"/>
      <c r="E38" s="549"/>
      <c r="F38" s="549"/>
      <c r="G38" s="549"/>
      <c r="H38" s="549"/>
      <c r="I38" s="549"/>
      <c r="J38" s="549"/>
      <c r="K38" s="548">
        <f t="shared" si="10"/>
        <v>0</v>
      </c>
      <c r="L38" s="463"/>
    </row>
    <row r="39" spans="1:12" ht="15" x14ac:dyDescent="0.25">
      <c r="A39" s="545"/>
      <c r="B39" s="545"/>
      <c r="C39" s="549">
        <v>19</v>
      </c>
      <c r="D39" s="549"/>
      <c r="E39" s="549"/>
      <c r="F39" s="549"/>
      <c r="G39" s="549"/>
      <c r="H39" s="549"/>
      <c r="I39" s="549"/>
      <c r="J39" s="549">
        <v>1</v>
      </c>
      <c r="K39" s="548">
        <f t="shared" si="10"/>
        <v>1</v>
      </c>
      <c r="L39" s="463"/>
    </row>
    <row r="40" spans="1:12" ht="15" x14ac:dyDescent="0.25">
      <c r="A40" s="545"/>
      <c r="B40" s="545"/>
      <c r="C40" s="550" t="s">
        <v>25</v>
      </c>
      <c r="D40" s="550">
        <f t="shared" ref="D40:H40" si="11">SUM(D27:D38)</f>
        <v>255</v>
      </c>
      <c r="E40" s="550">
        <f t="shared" si="11"/>
        <v>285</v>
      </c>
      <c r="F40" s="550">
        <f t="shared" si="11"/>
        <v>296</v>
      </c>
      <c r="G40" s="550">
        <f t="shared" si="11"/>
        <v>341</v>
      </c>
      <c r="H40" s="550">
        <f t="shared" si="11"/>
        <v>273</v>
      </c>
      <c r="I40" s="550">
        <f>SUM(I27:I39)</f>
        <v>284</v>
      </c>
      <c r="J40" s="550">
        <f>SUM(J27:J39)</f>
        <v>55</v>
      </c>
      <c r="K40" s="550">
        <f t="shared" si="10"/>
        <v>1789</v>
      </c>
      <c r="L40" s="463"/>
    </row>
    <row r="41" spans="1:12" ht="15" x14ac:dyDescent="0.25">
      <c r="A41" s="545"/>
      <c r="B41" s="545"/>
      <c r="C41" s="551"/>
      <c r="D41" s="551"/>
      <c r="E41" s="551"/>
      <c r="F41" s="551"/>
      <c r="G41" s="551"/>
      <c r="H41" s="551"/>
      <c r="I41" s="551"/>
      <c r="J41" s="551"/>
      <c r="K41" s="551"/>
      <c r="L41" s="463"/>
    </row>
    <row r="42" spans="1:12" ht="15" x14ac:dyDescent="0.25">
      <c r="A42" s="545"/>
      <c r="B42" s="545"/>
      <c r="C42" s="542" t="s">
        <v>26</v>
      </c>
      <c r="D42" s="543"/>
      <c r="E42" s="543"/>
      <c r="F42" s="543"/>
      <c r="G42" s="543"/>
      <c r="H42" s="543"/>
      <c r="I42" s="543"/>
      <c r="J42" s="543"/>
      <c r="K42" s="543"/>
      <c r="L42" s="463"/>
    </row>
    <row r="43" spans="1:12" ht="15" x14ac:dyDescent="0.25">
      <c r="A43" s="545"/>
      <c r="B43" s="545"/>
      <c r="C43" s="546" t="s">
        <v>269</v>
      </c>
      <c r="D43" s="548" t="s">
        <v>270</v>
      </c>
      <c r="E43" s="548" t="s">
        <v>271</v>
      </c>
      <c r="F43" s="548" t="s">
        <v>272</v>
      </c>
      <c r="G43" s="548" t="s">
        <v>273</v>
      </c>
      <c r="H43" s="548" t="s">
        <v>274</v>
      </c>
      <c r="I43" s="548" t="s">
        <v>275</v>
      </c>
      <c r="J43" s="548" t="s">
        <v>276</v>
      </c>
      <c r="K43" s="548" t="s">
        <v>25</v>
      </c>
      <c r="L43" s="463"/>
    </row>
    <row r="44" spans="1:12" ht="15" hidden="1" x14ac:dyDescent="0.25">
      <c r="A44" s="545"/>
      <c r="B44" s="545"/>
      <c r="C44" s="546">
        <v>9</v>
      </c>
      <c r="D44" s="560"/>
      <c r="E44" s="548"/>
      <c r="F44" s="548"/>
      <c r="G44" s="548"/>
      <c r="H44" s="548"/>
      <c r="I44" s="548"/>
      <c r="J44" s="548"/>
      <c r="K44" s="548">
        <f>SUM(D44:J44)</f>
        <v>0</v>
      </c>
      <c r="L44" s="463"/>
    </row>
    <row r="45" spans="1:12" ht="15" x14ac:dyDescent="0.25">
      <c r="A45" s="545"/>
      <c r="B45" s="545"/>
      <c r="C45" s="549">
        <v>10</v>
      </c>
      <c r="D45" s="549">
        <v>4</v>
      </c>
      <c r="E45" s="549"/>
      <c r="F45" s="549"/>
      <c r="G45" s="549"/>
      <c r="H45" s="549"/>
      <c r="I45" s="549"/>
      <c r="J45" s="549"/>
      <c r="K45" s="548">
        <f t="shared" ref="K45:K57" si="12">SUM(D45:J45)</f>
        <v>4</v>
      </c>
      <c r="L45" s="463"/>
    </row>
    <row r="46" spans="1:12" ht="15" x14ac:dyDescent="0.25">
      <c r="A46" s="545"/>
      <c r="B46" s="545"/>
      <c r="C46" s="549">
        <v>11</v>
      </c>
      <c r="D46" s="549">
        <v>251</v>
      </c>
      <c r="E46" s="549">
        <v>9</v>
      </c>
      <c r="F46" s="549"/>
      <c r="G46" s="549"/>
      <c r="H46" s="549"/>
      <c r="I46" s="549"/>
      <c r="J46" s="549"/>
      <c r="K46" s="548">
        <f t="shared" si="12"/>
        <v>260</v>
      </c>
      <c r="L46" s="463"/>
    </row>
    <row r="47" spans="1:12" ht="15" x14ac:dyDescent="0.25">
      <c r="A47" s="545"/>
      <c r="B47" s="545"/>
      <c r="C47" s="549">
        <v>12</v>
      </c>
      <c r="D47" s="549">
        <v>33</v>
      </c>
      <c r="E47" s="549">
        <v>106</v>
      </c>
      <c r="F47" s="549">
        <v>56</v>
      </c>
      <c r="G47" s="549"/>
      <c r="H47" s="549"/>
      <c r="I47" s="549"/>
      <c r="J47" s="549"/>
      <c r="K47" s="548">
        <f t="shared" si="12"/>
        <v>195</v>
      </c>
      <c r="L47" s="463"/>
    </row>
    <row r="48" spans="1:12" ht="15" x14ac:dyDescent="0.25">
      <c r="A48" s="545"/>
      <c r="B48" s="545"/>
      <c r="C48" s="549">
        <v>13</v>
      </c>
      <c r="D48" s="549"/>
      <c r="E48" s="549">
        <v>160</v>
      </c>
      <c r="F48" s="549">
        <v>229</v>
      </c>
      <c r="G48" s="549">
        <v>66</v>
      </c>
      <c r="H48" s="549"/>
      <c r="I48" s="549"/>
      <c r="J48" s="549"/>
      <c r="K48" s="548">
        <f t="shared" si="12"/>
        <v>455</v>
      </c>
      <c r="L48" s="463"/>
    </row>
    <row r="49" spans="1:12" ht="15" x14ac:dyDescent="0.25">
      <c r="A49" s="545"/>
      <c r="B49" s="545"/>
      <c r="C49" s="549">
        <v>14</v>
      </c>
      <c r="D49" s="549"/>
      <c r="E49" s="549">
        <v>10</v>
      </c>
      <c r="F49" s="549">
        <v>34</v>
      </c>
      <c r="G49" s="549">
        <v>198</v>
      </c>
      <c r="H49" s="549">
        <v>51</v>
      </c>
      <c r="I49" s="549"/>
      <c r="J49" s="549"/>
      <c r="K49" s="548">
        <f t="shared" si="12"/>
        <v>293</v>
      </c>
      <c r="L49" s="463"/>
    </row>
    <row r="50" spans="1:12" ht="15" x14ac:dyDescent="0.25">
      <c r="A50" s="545"/>
      <c r="B50" s="545"/>
      <c r="C50" s="549">
        <v>15</v>
      </c>
      <c r="D50" s="549"/>
      <c r="E50" s="549"/>
      <c r="F50" s="549">
        <v>1</v>
      </c>
      <c r="G50" s="549">
        <v>35</v>
      </c>
      <c r="H50" s="549">
        <v>189</v>
      </c>
      <c r="I50" s="549">
        <v>53</v>
      </c>
      <c r="J50" s="549"/>
      <c r="K50" s="548">
        <f t="shared" si="12"/>
        <v>278</v>
      </c>
      <c r="L50" s="556"/>
    </row>
    <row r="51" spans="1:12" ht="15" x14ac:dyDescent="0.25">
      <c r="A51" s="545"/>
      <c r="B51" s="545"/>
      <c r="C51" s="549">
        <v>16</v>
      </c>
      <c r="D51" s="549"/>
      <c r="E51" s="549"/>
      <c r="F51" s="549"/>
      <c r="G51" s="549">
        <v>1</v>
      </c>
      <c r="H51" s="549">
        <v>31</v>
      </c>
      <c r="I51" s="549">
        <v>178</v>
      </c>
      <c r="J51" s="549">
        <v>7</v>
      </c>
      <c r="K51" s="548">
        <f t="shared" si="12"/>
        <v>217</v>
      </c>
      <c r="L51" s="556"/>
    </row>
    <row r="52" spans="1:12" ht="15" x14ac:dyDescent="0.25">
      <c r="A52" s="545"/>
      <c r="B52" s="545"/>
      <c r="C52" s="549">
        <v>17</v>
      </c>
      <c r="D52" s="549"/>
      <c r="E52" s="549"/>
      <c r="F52" s="549"/>
      <c r="G52" s="549"/>
      <c r="H52" s="549">
        <v>1</v>
      </c>
      <c r="I52" s="549">
        <v>36</v>
      </c>
      <c r="J52" s="549">
        <v>30</v>
      </c>
      <c r="K52" s="548">
        <f t="shared" si="12"/>
        <v>67</v>
      </c>
      <c r="L52" s="545"/>
    </row>
    <row r="53" spans="1:12" ht="15" x14ac:dyDescent="0.25">
      <c r="A53" s="557"/>
      <c r="B53" s="557"/>
      <c r="C53" s="549">
        <v>18</v>
      </c>
      <c r="D53" s="549"/>
      <c r="E53" s="549"/>
      <c r="F53" s="549"/>
      <c r="G53" s="549"/>
      <c r="H53" s="549"/>
      <c r="I53" s="549">
        <v>6</v>
      </c>
      <c r="J53" s="549">
        <v>4</v>
      </c>
      <c r="K53" s="548">
        <f t="shared" si="12"/>
        <v>10</v>
      </c>
      <c r="L53" s="545"/>
    </row>
    <row r="54" spans="1:12" ht="15" hidden="1" x14ac:dyDescent="0.25">
      <c r="A54" s="557"/>
      <c r="B54" s="557"/>
      <c r="C54" s="549">
        <v>19</v>
      </c>
      <c r="D54" s="549"/>
      <c r="E54" s="549"/>
      <c r="F54" s="549"/>
      <c r="G54" s="549"/>
      <c r="H54" s="549"/>
      <c r="I54" s="549"/>
      <c r="J54" s="549"/>
      <c r="K54" s="548">
        <f t="shared" si="12"/>
        <v>0</v>
      </c>
      <c r="L54" s="545"/>
    </row>
    <row r="55" spans="1:12" ht="15" hidden="1" x14ac:dyDescent="0.25">
      <c r="A55" s="557"/>
      <c r="B55" s="557"/>
      <c r="C55" s="549">
        <v>20</v>
      </c>
      <c r="D55" s="549"/>
      <c r="E55" s="549"/>
      <c r="F55" s="549"/>
      <c r="G55" s="549"/>
      <c r="H55" s="549"/>
      <c r="I55" s="549"/>
      <c r="J55" s="549"/>
      <c r="K55" s="548">
        <f t="shared" si="12"/>
        <v>0</v>
      </c>
      <c r="L55" s="545"/>
    </row>
    <row r="56" spans="1:12" ht="15" x14ac:dyDescent="0.25">
      <c r="A56" s="557"/>
      <c r="B56" s="557"/>
      <c r="C56" s="549">
        <v>19</v>
      </c>
      <c r="D56" s="549"/>
      <c r="E56" s="549"/>
      <c r="F56" s="549"/>
      <c r="G56" s="549"/>
      <c r="H56" s="549"/>
      <c r="I56" s="549"/>
      <c r="J56" s="549"/>
      <c r="K56" s="548"/>
      <c r="L56" s="545"/>
    </row>
    <row r="57" spans="1:12" ht="15" x14ac:dyDescent="0.25">
      <c r="A57" s="545"/>
      <c r="B57" s="545"/>
      <c r="C57" s="479" t="s">
        <v>25</v>
      </c>
      <c r="D57" s="479">
        <f t="shared" ref="D57:I57" si="13">SUM(D44:D55)</f>
        <v>288</v>
      </c>
      <c r="E57" s="479">
        <f t="shared" si="13"/>
        <v>285</v>
      </c>
      <c r="F57" s="479">
        <f t="shared" si="13"/>
        <v>320</v>
      </c>
      <c r="G57" s="479">
        <f t="shared" si="13"/>
        <v>300</v>
      </c>
      <c r="H57" s="479">
        <f t="shared" si="13"/>
        <v>272</v>
      </c>
      <c r="I57" s="479">
        <f t="shared" si="13"/>
        <v>273</v>
      </c>
      <c r="J57" s="479">
        <f>SUM(J44:J56)</f>
        <v>41</v>
      </c>
      <c r="K57" s="550">
        <f t="shared" si="12"/>
        <v>1779</v>
      </c>
      <c r="L57" s="556"/>
    </row>
    <row r="58" spans="1:12" ht="14.25" x14ac:dyDescent="0.2">
      <c r="A58" s="545"/>
      <c r="B58" s="545"/>
      <c r="C58" s="463"/>
      <c r="D58" s="463"/>
      <c r="E58" s="463"/>
      <c r="F58" s="556"/>
      <c r="G58" s="463"/>
      <c r="H58" s="463"/>
      <c r="I58" s="556"/>
      <c r="J58" s="556"/>
      <c r="K58" s="463"/>
      <c r="L58" s="556"/>
    </row>
    <row r="59" spans="1:12" ht="14.25" x14ac:dyDescent="0.2">
      <c r="A59" s="301"/>
      <c r="B59" s="301"/>
      <c r="C59" s="423" t="s">
        <v>311</v>
      </c>
      <c r="D59" s="457"/>
      <c r="E59" s="301"/>
      <c r="F59" s="301"/>
      <c r="G59" s="301"/>
      <c r="H59" s="301"/>
      <c r="I59" s="301"/>
      <c r="J59" s="301"/>
      <c r="K59" s="301"/>
      <c r="L59" s="472"/>
    </row>
    <row r="60" spans="1:12" ht="14.25" x14ac:dyDescent="0.2">
      <c r="A60" s="473"/>
      <c r="B60" s="473"/>
      <c r="C60" s="473"/>
      <c r="D60" s="301"/>
      <c r="E60" s="301"/>
      <c r="F60" s="301"/>
      <c r="G60" s="301"/>
      <c r="H60" s="301"/>
      <c r="I60" s="301"/>
      <c r="J60" s="301"/>
      <c r="K60" s="301"/>
      <c r="L60" s="473"/>
    </row>
    <row r="61" spans="1:12" ht="14.25" x14ac:dyDescent="0.2">
      <c r="A61" s="473"/>
      <c r="B61" s="473"/>
      <c r="C61" s="473"/>
      <c r="D61" s="301"/>
      <c r="E61" s="301"/>
      <c r="F61" s="301"/>
      <c r="G61" s="301"/>
      <c r="H61" s="301"/>
      <c r="I61" s="301"/>
      <c r="J61" s="301"/>
      <c r="K61" s="301"/>
      <c r="L61" s="473"/>
    </row>
    <row r="62" spans="1:12" x14ac:dyDescent="0.2">
      <c r="A62" s="299"/>
      <c r="B62" s="299"/>
      <c r="C62" s="299"/>
      <c r="D62" s="299"/>
      <c r="E62" s="299"/>
      <c r="F62" s="299"/>
      <c r="G62" s="299"/>
      <c r="H62" s="299"/>
      <c r="I62" s="299"/>
      <c r="J62" s="299"/>
      <c r="K62" s="299"/>
      <c r="L62" s="299"/>
    </row>
  </sheetData>
  <mergeCells count="2">
    <mergeCell ref="A5:L5"/>
    <mergeCell ref="A7:L7"/>
  </mergeCells>
  <pageMargins left="0.7" right="0.7" top="0.75" bottom="0.75" header="0.3" footer="0.3"/>
  <ignoredErrors>
    <ignoredError sqref="K39:K40 K57 K27:K36 K44:K55" formulaRange="1"/>
    <ignoredError sqref="J23" formula="1"/>
  </ignoredErrors>
  <drawing r:id="rId1"/>
  <legacyDrawing r:id="rId2"/>
  <oleObjects>
    <mc:AlternateContent xmlns:mc="http://schemas.openxmlformats.org/markup-compatibility/2006">
      <mc:Choice Requires="x14">
        <oleObject progId="MSPhotoEd.3" shapeId="44034" r:id="rId3">
          <objectPr defaultSize="0" autoPict="0" r:id="rId4">
            <anchor moveWithCells="1" sizeWithCells="1">
              <from>
                <xdr:col>0</xdr:col>
                <xdr:colOff>9525</xdr:colOff>
                <xdr:row>1</xdr:row>
                <xdr:rowOff>38100</xdr:rowOff>
              </from>
              <to>
                <xdr:col>0</xdr:col>
                <xdr:colOff>552450</xdr:colOff>
                <xdr:row>2</xdr:row>
                <xdr:rowOff>133350</xdr:rowOff>
              </to>
            </anchor>
          </objectPr>
        </oleObject>
      </mc:Choice>
      <mc:Fallback>
        <oleObject progId="MSPhotoEd.3" shapeId="44034" r:id="rId3"/>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7" tint="0.59999389629810485"/>
  </sheetPr>
  <dimension ref="B4:AP71"/>
  <sheetViews>
    <sheetView zoomScale="78" zoomScaleNormal="78" zoomScaleSheetLayoutView="89" workbookViewId="0">
      <selection activeCell="AE10" sqref="AE10"/>
    </sheetView>
  </sheetViews>
  <sheetFormatPr defaultRowHeight="12.75" x14ac:dyDescent="0.2"/>
  <cols>
    <col min="1" max="1" width="9.140625" style="29"/>
    <col min="2" max="2" width="3.7109375" style="29" customWidth="1"/>
    <col min="3" max="3" width="3.28515625" style="29" customWidth="1"/>
    <col min="4" max="4" width="40.5703125" style="29" customWidth="1"/>
    <col min="5" max="12" width="8" style="29" hidden="1" customWidth="1"/>
    <col min="13" max="13" width="13.28515625" style="29" hidden="1" customWidth="1"/>
    <col min="14" max="14" width="12.7109375" style="29" hidden="1" customWidth="1"/>
    <col min="15" max="16" width="13.28515625" style="29" hidden="1" customWidth="1"/>
    <col min="17" max="18" width="7.85546875" style="29" hidden="1" customWidth="1"/>
    <col min="19" max="19" width="9.140625" style="29" customWidth="1"/>
    <col min="20" max="21" width="7.85546875" style="29" customWidth="1"/>
    <col min="22" max="22" width="9.28515625" style="29" bestFit="1" customWidth="1"/>
    <col min="23" max="25" width="9.140625" style="29"/>
    <col min="26" max="26" width="9.42578125" style="29" bestFit="1" customWidth="1"/>
    <col min="27" max="16384" width="9.140625" style="29"/>
  </cols>
  <sheetData>
    <row r="4" spans="2:27" ht="15" x14ac:dyDescent="0.25">
      <c r="F4" s="748" t="s">
        <v>374</v>
      </c>
      <c r="G4" s="748"/>
      <c r="H4" s="748"/>
      <c r="I4" s="748"/>
      <c r="J4" s="748"/>
      <c r="K4" s="748"/>
      <c r="L4" s="748"/>
      <c r="M4" s="748"/>
      <c r="N4" s="748"/>
      <c r="O4" s="748"/>
      <c r="P4" s="748"/>
      <c r="Q4" s="748"/>
      <c r="R4" s="748"/>
      <c r="S4" s="748"/>
      <c r="T4" s="748"/>
      <c r="U4" s="748"/>
      <c r="V4" s="748"/>
      <c r="W4" s="748"/>
    </row>
    <row r="5" spans="2:27" x14ac:dyDescent="0.2">
      <c r="R5" s="170"/>
    </row>
    <row r="6" spans="2:27" ht="15.75" x14ac:dyDescent="0.25">
      <c r="B6" s="736" t="s">
        <v>370</v>
      </c>
      <c r="C6" s="736"/>
      <c r="D6" s="736"/>
      <c r="E6" s="736"/>
      <c r="F6" s="736"/>
      <c r="G6" s="736"/>
      <c r="H6" s="736"/>
      <c r="I6" s="736"/>
      <c r="J6" s="736"/>
      <c r="K6" s="736"/>
      <c r="L6" s="736"/>
      <c r="M6" s="736"/>
      <c r="N6" s="736"/>
      <c r="O6" s="736"/>
      <c r="P6" s="736"/>
      <c r="Q6" s="736"/>
      <c r="R6" s="736"/>
      <c r="S6" s="736"/>
      <c r="T6" s="736"/>
      <c r="U6" s="404"/>
    </row>
    <row r="7" spans="2:27" ht="15.75" x14ac:dyDescent="0.25">
      <c r="B7" s="404"/>
      <c r="C7" s="404"/>
      <c r="D7" s="404"/>
      <c r="E7" s="404"/>
      <c r="F7" s="404"/>
      <c r="G7" s="404"/>
      <c r="H7" s="404"/>
      <c r="I7" s="404"/>
      <c r="J7" s="404"/>
      <c r="K7" s="404"/>
      <c r="L7" s="404"/>
      <c r="M7" s="404"/>
      <c r="N7" s="449"/>
      <c r="O7" s="449"/>
      <c r="R7" s="170"/>
    </row>
    <row r="8" spans="2:27" ht="12.75" customHeight="1" x14ac:dyDescent="0.2">
      <c r="B8" s="299"/>
      <c r="C8" s="299"/>
      <c r="D8" s="299"/>
      <c r="E8" s="299"/>
      <c r="F8" s="299"/>
      <c r="G8" s="299"/>
      <c r="H8" s="299"/>
      <c r="I8" s="299"/>
      <c r="J8" s="299"/>
    </row>
    <row r="9" spans="2:27" ht="15.75" x14ac:dyDescent="0.25">
      <c r="C9" s="406"/>
      <c r="D9" s="736" t="s">
        <v>369</v>
      </c>
      <c r="E9" s="736"/>
      <c r="F9" s="736"/>
      <c r="G9" s="736"/>
      <c r="H9" s="736"/>
      <c r="I9" s="736"/>
      <c r="J9" s="736"/>
      <c r="K9" s="736"/>
      <c r="L9" s="736"/>
      <c r="M9" s="736"/>
      <c r="N9" s="736"/>
      <c r="O9" s="736"/>
      <c r="P9" s="736"/>
      <c r="Q9" s="736"/>
      <c r="R9" s="736"/>
      <c r="S9" s="736"/>
      <c r="T9" s="736"/>
      <c r="U9" s="404"/>
    </row>
    <row r="11" spans="2:27" x14ac:dyDescent="0.2">
      <c r="E11" s="484"/>
      <c r="F11" s="484"/>
      <c r="H11" s="561"/>
      <c r="I11" s="562"/>
      <c r="J11" s="562"/>
      <c r="T11" s="751" t="s">
        <v>277</v>
      </c>
      <c r="U11" s="751"/>
      <c r="V11" s="751"/>
      <c r="W11" s="751"/>
      <c r="X11" s="751"/>
      <c r="Y11" s="751"/>
      <c r="Z11" s="751"/>
      <c r="AA11" s="751"/>
    </row>
    <row r="12" spans="2:27" ht="15" x14ac:dyDescent="0.2">
      <c r="D12" s="563"/>
      <c r="E12" s="564">
        <v>2000</v>
      </c>
      <c r="F12" s="564">
        <v>2001</v>
      </c>
      <c r="G12" s="564">
        <v>2002</v>
      </c>
      <c r="H12" s="564">
        <v>2003</v>
      </c>
      <c r="I12" s="564"/>
      <c r="J12" s="564"/>
      <c r="K12" s="563" t="s">
        <v>344</v>
      </c>
      <c r="L12" s="563"/>
      <c r="M12" s="564">
        <v>2005</v>
      </c>
      <c r="N12" s="564">
        <v>2006</v>
      </c>
      <c r="O12" s="564">
        <v>2007</v>
      </c>
      <c r="P12" s="564">
        <v>2008</v>
      </c>
      <c r="Q12" s="564">
        <v>2009</v>
      </c>
      <c r="R12" s="564">
        <v>2010</v>
      </c>
      <c r="S12" s="564">
        <v>2011</v>
      </c>
      <c r="T12" s="564">
        <v>2012</v>
      </c>
      <c r="U12" s="564">
        <v>2013</v>
      </c>
      <c r="V12" s="564">
        <v>2014</v>
      </c>
      <c r="W12" s="564">
        <v>2015</v>
      </c>
      <c r="X12" s="564">
        <v>2016</v>
      </c>
      <c r="Y12" s="564">
        <v>2017</v>
      </c>
      <c r="Z12" s="564">
        <v>2018</v>
      </c>
      <c r="AA12" s="564">
        <v>2019</v>
      </c>
    </row>
    <row r="13" spans="2:27" x14ac:dyDescent="0.2">
      <c r="D13" s="565"/>
      <c r="E13" s="565"/>
      <c r="F13" s="565"/>
      <c r="G13" s="565"/>
      <c r="H13" s="565"/>
      <c r="I13" s="565"/>
      <c r="J13" s="565"/>
      <c r="K13" s="565"/>
      <c r="L13" s="565"/>
      <c r="M13" s="566"/>
      <c r="N13" s="565"/>
      <c r="O13" s="565"/>
      <c r="P13" s="565"/>
      <c r="Q13" s="565"/>
      <c r="R13" s="565"/>
      <c r="S13" s="565"/>
      <c r="T13" s="565"/>
      <c r="U13" s="565"/>
      <c r="V13" s="565"/>
      <c r="W13" s="565"/>
    </row>
    <row r="14" spans="2:27" x14ac:dyDescent="0.2">
      <c r="D14" s="567" t="s">
        <v>349</v>
      </c>
      <c r="E14" s="565"/>
      <c r="F14" s="565"/>
      <c r="G14" s="565"/>
      <c r="H14" s="565"/>
      <c r="I14" s="565"/>
      <c r="J14" s="565"/>
      <c r="K14" s="565"/>
      <c r="L14" s="565"/>
      <c r="M14" s="566"/>
      <c r="N14" s="565"/>
      <c r="O14" s="565"/>
      <c r="P14" s="565"/>
      <c r="Q14" s="565" t="s">
        <v>327</v>
      </c>
      <c r="R14" s="565"/>
      <c r="S14" s="565"/>
      <c r="T14" s="565"/>
      <c r="U14" s="565"/>
      <c r="V14" s="565"/>
      <c r="W14" s="565"/>
    </row>
    <row r="15" spans="2:27" x14ac:dyDescent="0.2">
      <c r="D15" s="567" t="s">
        <v>2</v>
      </c>
      <c r="E15" s="565"/>
      <c r="F15" s="565"/>
      <c r="G15" s="565"/>
      <c r="H15" s="565"/>
      <c r="I15" s="565"/>
      <c r="J15" s="565"/>
      <c r="K15" s="565"/>
      <c r="L15" s="565"/>
      <c r="M15" s="566"/>
      <c r="N15" s="565"/>
      <c r="O15" s="565"/>
      <c r="P15" s="565"/>
      <c r="Q15" s="565"/>
      <c r="R15" s="565"/>
      <c r="S15" s="565"/>
      <c r="T15" s="565"/>
      <c r="U15" s="565"/>
      <c r="V15" s="565"/>
      <c r="W15" s="565"/>
    </row>
    <row r="16" spans="2:27" x14ac:dyDescent="0.2">
      <c r="D16" s="565" t="s">
        <v>11</v>
      </c>
      <c r="E16" s="568">
        <v>2226</v>
      </c>
      <c r="F16" s="568">
        <v>2230</v>
      </c>
      <c r="G16" s="568">
        <v>2252</v>
      </c>
      <c r="H16" s="568">
        <v>2251</v>
      </c>
      <c r="I16" s="568"/>
      <c r="J16" s="568"/>
      <c r="K16" s="568">
        <v>2095</v>
      </c>
      <c r="L16" s="568"/>
      <c r="M16" s="569">
        <v>2296</v>
      </c>
      <c r="N16" s="568">
        <v>2339</v>
      </c>
      <c r="O16" s="568">
        <v>2372</v>
      </c>
      <c r="P16" s="568">
        <v>2317</v>
      </c>
      <c r="Q16" s="568">
        <v>2378</v>
      </c>
      <c r="R16" s="568">
        <v>2553</v>
      </c>
      <c r="S16" s="568">
        <v>2556</v>
      </c>
      <c r="T16" s="568">
        <v>2426</v>
      </c>
      <c r="U16" s="568">
        <v>2370</v>
      </c>
      <c r="V16" s="568">
        <v>2432</v>
      </c>
      <c r="W16" s="568">
        <v>2456</v>
      </c>
      <c r="X16" s="568">
        <v>2418</v>
      </c>
      <c r="Y16" s="568">
        <v>2375</v>
      </c>
      <c r="Z16" s="568">
        <v>2396</v>
      </c>
      <c r="AA16" s="568">
        <v>2352</v>
      </c>
    </row>
    <row r="17" spans="4:27" x14ac:dyDescent="0.2">
      <c r="D17" s="565" t="s">
        <v>328</v>
      </c>
      <c r="E17" s="568">
        <v>126</v>
      </c>
      <c r="F17" s="568">
        <v>139</v>
      </c>
      <c r="G17" s="568">
        <v>132</v>
      </c>
      <c r="H17" s="568">
        <v>129</v>
      </c>
      <c r="I17" s="568"/>
      <c r="J17" s="568"/>
      <c r="K17" s="568">
        <v>134</v>
      </c>
      <c r="L17" s="568"/>
      <c r="M17" s="568">
        <v>161</v>
      </c>
      <c r="N17" s="570" t="s">
        <v>165</v>
      </c>
      <c r="O17" s="568">
        <v>173</v>
      </c>
      <c r="P17" s="568">
        <v>191</v>
      </c>
      <c r="Q17" s="568">
        <v>170</v>
      </c>
      <c r="R17" s="568">
        <v>168</v>
      </c>
      <c r="S17" s="568">
        <v>186</v>
      </c>
      <c r="T17" s="568">
        <v>178</v>
      </c>
      <c r="U17" s="568">
        <v>208</v>
      </c>
      <c r="V17" s="568">
        <v>181</v>
      </c>
      <c r="W17" s="568">
        <v>175</v>
      </c>
      <c r="X17" s="568">
        <v>174</v>
      </c>
      <c r="Y17" s="568">
        <v>177</v>
      </c>
      <c r="Z17" s="571">
        <v>191</v>
      </c>
      <c r="AA17" s="492">
        <v>192</v>
      </c>
    </row>
    <row r="18" spans="4:27" x14ac:dyDescent="0.2">
      <c r="D18" s="565" t="s">
        <v>334</v>
      </c>
      <c r="E18" s="570">
        <f t="shared" ref="E18:U18" si="0">E16/E17</f>
        <v>17.666666666666668</v>
      </c>
      <c r="F18" s="570">
        <f t="shared" si="0"/>
        <v>16.043165467625901</v>
      </c>
      <c r="G18" s="570">
        <f t="shared" si="0"/>
        <v>17.060606060606062</v>
      </c>
      <c r="H18" s="570">
        <f t="shared" si="0"/>
        <v>17.449612403100776</v>
      </c>
      <c r="I18" s="570"/>
      <c r="J18" s="570"/>
      <c r="K18" s="570">
        <f t="shared" si="0"/>
        <v>15.634328358208956</v>
      </c>
      <c r="L18" s="570"/>
      <c r="M18" s="570">
        <f t="shared" si="0"/>
        <v>14.260869565217391</v>
      </c>
      <c r="N18" s="568">
        <f t="shared" si="0"/>
        <v>10.981220657276996</v>
      </c>
      <c r="O18" s="568">
        <f t="shared" si="0"/>
        <v>13.710982658959537</v>
      </c>
      <c r="P18" s="568">
        <f t="shared" si="0"/>
        <v>12.130890052356021</v>
      </c>
      <c r="Q18" s="568">
        <f t="shared" si="0"/>
        <v>13.988235294117647</v>
      </c>
      <c r="R18" s="568">
        <f t="shared" si="0"/>
        <v>15.196428571428571</v>
      </c>
      <c r="S18" s="568">
        <f t="shared" si="0"/>
        <v>13.741935483870968</v>
      </c>
      <c r="T18" s="568">
        <f t="shared" si="0"/>
        <v>13.629213483146067</v>
      </c>
      <c r="U18" s="568">
        <f t="shared" si="0"/>
        <v>11.39423076923077</v>
      </c>
      <c r="V18" s="568">
        <f>V16/V17</f>
        <v>13.436464088397789</v>
      </c>
      <c r="W18" s="568">
        <f>W16/W17</f>
        <v>14.034285714285714</v>
      </c>
      <c r="X18" s="568">
        <f>X16/X17</f>
        <v>13.896551724137931</v>
      </c>
      <c r="Y18" s="568">
        <f t="shared" ref="Y18" si="1">Y16/Y17</f>
        <v>13.418079096045197</v>
      </c>
      <c r="Z18" s="568">
        <f>Z16/Z17</f>
        <v>12.544502617801047</v>
      </c>
      <c r="AA18" s="568">
        <f t="shared" ref="AA18" si="2">AA16/AA17</f>
        <v>12.25</v>
      </c>
    </row>
    <row r="19" spans="4:27" ht="15" x14ac:dyDescent="0.2">
      <c r="D19" s="565" t="s">
        <v>350</v>
      </c>
      <c r="E19" s="568"/>
      <c r="F19" s="568"/>
      <c r="G19" s="568"/>
      <c r="H19" s="568"/>
      <c r="I19" s="568"/>
      <c r="J19" s="568"/>
      <c r="K19" s="568"/>
      <c r="L19" s="568"/>
      <c r="M19" s="568"/>
      <c r="N19" s="570"/>
      <c r="O19" s="568"/>
      <c r="P19" s="568"/>
      <c r="Q19" s="568">
        <v>0</v>
      </c>
      <c r="R19" s="568">
        <v>0</v>
      </c>
      <c r="S19" s="568">
        <v>0</v>
      </c>
      <c r="T19" s="568">
        <v>0</v>
      </c>
      <c r="U19" s="568">
        <v>150.1</v>
      </c>
      <c r="V19" s="568">
        <v>159</v>
      </c>
      <c r="W19" s="568">
        <v>167.9</v>
      </c>
      <c r="X19" s="568">
        <v>176.8</v>
      </c>
      <c r="Y19" s="568">
        <v>185.7</v>
      </c>
      <c r="Z19" s="568">
        <v>166</v>
      </c>
      <c r="AA19" s="568">
        <v>163</v>
      </c>
    </row>
    <row r="20" spans="4:27" x14ac:dyDescent="0.2">
      <c r="D20" s="565" t="s">
        <v>331</v>
      </c>
      <c r="E20" s="568"/>
      <c r="F20" s="568"/>
      <c r="G20" s="568"/>
      <c r="H20" s="568"/>
      <c r="I20" s="568"/>
      <c r="J20" s="568"/>
      <c r="K20" s="568"/>
      <c r="L20" s="568"/>
      <c r="M20" s="568"/>
      <c r="N20" s="570"/>
      <c r="O20" s="568"/>
      <c r="P20" s="568"/>
      <c r="Q20" s="568">
        <v>0</v>
      </c>
      <c r="R20" s="568">
        <v>0</v>
      </c>
      <c r="S20" s="568">
        <v>0</v>
      </c>
      <c r="T20" s="568">
        <v>0</v>
      </c>
      <c r="U20" s="572">
        <f>U16/U19</f>
        <v>15.789473684210527</v>
      </c>
      <c r="W20" s="572">
        <f>V16/V19</f>
        <v>15.29559748427673</v>
      </c>
      <c r="X20" s="572">
        <f>W16/W19</f>
        <v>14.627754615842763</v>
      </c>
      <c r="Y20" s="572">
        <f>X16/X19</f>
        <v>13.676470588235293</v>
      </c>
      <c r="Z20" s="572">
        <f>Y16/Y19</f>
        <v>12.789445341949381</v>
      </c>
      <c r="AA20" s="572">
        <f>Z16/Z19</f>
        <v>14.433734939759036</v>
      </c>
    </row>
    <row r="21" spans="4:27" x14ac:dyDescent="0.2">
      <c r="D21" s="565"/>
      <c r="E21" s="565"/>
      <c r="F21" s="565"/>
      <c r="G21" s="565"/>
      <c r="H21" s="565"/>
      <c r="I21" s="565"/>
      <c r="J21" s="565"/>
      <c r="K21" s="565"/>
      <c r="L21" s="565"/>
      <c r="M21" s="565"/>
      <c r="N21" s="568" t="s">
        <v>1</v>
      </c>
      <c r="O21" s="568"/>
      <c r="P21" s="568"/>
      <c r="Q21" s="568"/>
      <c r="R21" s="568"/>
      <c r="S21" s="568"/>
      <c r="T21" s="568"/>
      <c r="U21" s="568"/>
      <c r="V21" s="573"/>
      <c r="W21" s="574"/>
      <c r="X21" s="574"/>
      <c r="Y21" s="574"/>
      <c r="Z21" s="574"/>
    </row>
    <row r="22" spans="4:27" x14ac:dyDescent="0.2">
      <c r="D22" s="567" t="s">
        <v>3</v>
      </c>
      <c r="E22" s="568"/>
      <c r="F22" s="568"/>
      <c r="G22" s="568"/>
      <c r="H22" s="565"/>
      <c r="I22" s="565"/>
      <c r="J22" s="565"/>
      <c r="K22" s="565"/>
      <c r="L22" s="565"/>
      <c r="M22" s="565"/>
      <c r="N22" s="568"/>
      <c r="O22" s="568"/>
      <c r="P22" s="568"/>
      <c r="Q22" s="568"/>
      <c r="R22" s="568"/>
      <c r="S22" s="568"/>
      <c r="T22" s="568"/>
      <c r="U22" s="568"/>
    </row>
    <row r="23" spans="4:27" x14ac:dyDescent="0.2">
      <c r="D23" s="565" t="s">
        <v>11</v>
      </c>
      <c r="E23" s="568">
        <v>953</v>
      </c>
      <c r="F23" s="568">
        <v>914</v>
      </c>
      <c r="G23" s="568">
        <v>917</v>
      </c>
      <c r="H23" s="568">
        <v>923</v>
      </c>
      <c r="I23" s="568"/>
      <c r="J23" s="568"/>
      <c r="K23" s="568">
        <v>1018</v>
      </c>
      <c r="L23" s="568"/>
      <c r="M23" s="568">
        <v>898</v>
      </c>
      <c r="N23" s="568">
        <v>948</v>
      </c>
      <c r="O23" s="568">
        <v>2209</v>
      </c>
      <c r="P23" s="568">
        <v>2262</v>
      </c>
      <c r="Q23" s="568">
        <v>2283</v>
      </c>
      <c r="R23" s="568">
        <v>2309</v>
      </c>
      <c r="S23" s="568">
        <v>2426</v>
      </c>
      <c r="T23" s="568">
        <v>2530</v>
      </c>
      <c r="U23" s="568">
        <v>2466</v>
      </c>
      <c r="V23" s="568">
        <v>2307</v>
      </c>
      <c r="W23" s="568">
        <v>2252</v>
      </c>
      <c r="X23" s="568">
        <v>2281</v>
      </c>
      <c r="Y23" s="568">
        <v>2181</v>
      </c>
      <c r="Z23" s="568">
        <v>2227</v>
      </c>
      <c r="AA23" s="568">
        <v>2284</v>
      </c>
    </row>
    <row r="24" spans="4:27" x14ac:dyDescent="0.2">
      <c r="D24" s="565" t="s">
        <v>328</v>
      </c>
      <c r="E24" s="568">
        <v>95</v>
      </c>
      <c r="F24" s="568">
        <v>97</v>
      </c>
      <c r="G24" s="568">
        <v>102</v>
      </c>
      <c r="H24" s="568">
        <v>105</v>
      </c>
      <c r="I24" s="568"/>
      <c r="J24" s="568"/>
      <c r="K24" s="568">
        <v>104</v>
      </c>
      <c r="L24" s="568"/>
      <c r="M24" s="568">
        <v>108</v>
      </c>
      <c r="N24" s="568">
        <v>102</v>
      </c>
      <c r="O24" s="568">
        <v>229</v>
      </c>
      <c r="P24" s="568">
        <v>215</v>
      </c>
      <c r="Q24" s="568">
        <v>229</v>
      </c>
      <c r="R24" s="568">
        <v>230</v>
      </c>
      <c r="S24" s="568">
        <v>243</v>
      </c>
      <c r="T24" s="568">
        <v>236</v>
      </c>
      <c r="U24" s="568">
        <v>237</v>
      </c>
      <c r="V24" s="568">
        <v>240</v>
      </c>
      <c r="W24" s="568">
        <v>236</v>
      </c>
      <c r="X24" s="568">
        <v>280</v>
      </c>
      <c r="Y24" s="568">
        <v>242</v>
      </c>
      <c r="Z24" s="568">
        <v>229</v>
      </c>
      <c r="AA24" s="568">
        <v>234</v>
      </c>
    </row>
    <row r="25" spans="4:27" x14ac:dyDescent="0.2">
      <c r="D25" s="565" t="s">
        <v>330</v>
      </c>
      <c r="E25" s="568">
        <f t="shared" ref="E25:M25" si="3">E23/E24</f>
        <v>10.031578947368422</v>
      </c>
      <c r="F25" s="568">
        <f t="shared" si="3"/>
        <v>9.4226804123711343</v>
      </c>
      <c r="G25" s="568">
        <f t="shared" si="3"/>
        <v>8.9901960784313726</v>
      </c>
      <c r="H25" s="568">
        <f t="shared" si="3"/>
        <v>8.7904761904761912</v>
      </c>
      <c r="I25" s="568"/>
      <c r="J25" s="568"/>
      <c r="K25" s="570">
        <f t="shared" si="3"/>
        <v>9.7884615384615383</v>
      </c>
      <c r="L25" s="570"/>
      <c r="M25" s="570">
        <f t="shared" si="3"/>
        <v>8.3148148148148149</v>
      </c>
      <c r="N25" s="568">
        <f>N23/N24</f>
        <v>9.2941176470588243</v>
      </c>
      <c r="O25" s="568">
        <f t="shared" ref="O25:U25" si="4">O23/O24</f>
        <v>9.6462882096069862</v>
      </c>
      <c r="P25" s="568">
        <f t="shared" si="4"/>
        <v>10.52093023255814</v>
      </c>
      <c r="Q25" s="568">
        <f t="shared" si="4"/>
        <v>9.9694323144104811</v>
      </c>
      <c r="R25" s="568">
        <f t="shared" si="4"/>
        <v>10.039130434782608</v>
      </c>
      <c r="S25" s="568">
        <f t="shared" si="4"/>
        <v>9.9835390946502063</v>
      </c>
      <c r="T25" s="568">
        <f t="shared" si="4"/>
        <v>10.720338983050848</v>
      </c>
      <c r="U25" s="568">
        <f t="shared" si="4"/>
        <v>10.405063291139241</v>
      </c>
      <c r="V25" s="568">
        <f>V23/V24</f>
        <v>9.6125000000000007</v>
      </c>
      <c r="W25" s="568">
        <f>W23/W24</f>
        <v>9.5423728813559325</v>
      </c>
      <c r="X25" s="568">
        <f>X23/X24</f>
        <v>8.1464285714285722</v>
      </c>
      <c r="Y25" s="568">
        <f t="shared" ref="Y25:AA25" si="5">Y23/Y24</f>
        <v>9.0123966942148765</v>
      </c>
      <c r="Z25" s="568">
        <f t="shared" si="5"/>
        <v>9.7248908296943224</v>
      </c>
      <c r="AA25" s="568">
        <f t="shared" si="5"/>
        <v>9.7606837606837615</v>
      </c>
    </row>
    <row r="26" spans="4:27" x14ac:dyDescent="0.2">
      <c r="D26" s="565" t="s">
        <v>329</v>
      </c>
      <c r="E26" s="568"/>
      <c r="F26" s="568"/>
      <c r="G26" s="568"/>
      <c r="H26" s="568"/>
      <c r="I26" s="568"/>
      <c r="J26" s="568"/>
      <c r="K26" s="570"/>
      <c r="L26" s="570"/>
      <c r="M26" s="570"/>
      <c r="N26" s="568"/>
      <c r="O26" s="568"/>
      <c r="P26" s="568"/>
      <c r="Q26" s="568">
        <v>0</v>
      </c>
      <c r="R26" s="568">
        <v>0</v>
      </c>
      <c r="S26" s="568">
        <v>0</v>
      </c>
      <c r="T26" s="568">
        <v>0</v>
      </c>
      <c r="U26" s="572">
        <v>189.2</v>
      </c>
      <c r="V26" s="572">
        <v>190.8</v>
      </c>
      <c r="W26" s="572">
        <v>192.4</v>
      </c>
      <c r="X26" s="572">
        <v>194</v>
      </c>
      <c r="Y26" s="572">
        <v>195.6</v>
      </c>
      <c r="Z26" s="572">
        <v>197.7</v>
      </c>
      <c r="AA26" s="572">
        <v>191.6</v>
      </c>
    </row>
    <row r="27" spans="4:27" x14ac:dyDescent="0.2">
      <c r="D27" s="565" t="s">
        <v>331</v>
      </c>
      <c r="E27" s="568"/>
      <c r="F27" s="568"/>
      <c r="G27" s="568"/>
      <c r="H27" s="568"/>
      <c r="I27" s="568"/>
      <c r="J27" s="568"/>
      <c r="K27" s="570"/>
      <c r="L27" s="570"/>
      <c r="M27" s="570"/>
      <c r="N27" s="568"/>
      <c r="O27" s="568"/>
      <c r="P27" s="568"/>
      <c r="Q27" s="568">
        <v>0</v>
      </c>
      <c r="R27" s="568">
        <v>0</v>
      </c>
      <c r="S27" s="568">
        <v>0</v>
      </c>
      <c r="T27" s="568">
        <v>0</v>
      </c>
      <c r="U27" s="572">
        <f t="shared" ref="U27:AA27" si="6">U23/U26</f>
        <v>13.033826638477802</v>
      </c>
      <c r="V27" s="572">
        <f t="shared" si="6"/>
        <v>12.091194968553458</v>
      </c>
      <c r="W27" s="572">
        <f t="shared" si="6"/>
        <v>11.704781704781704</v>
      </c>
      <c r="X27" s="572">
        <f t="shared" si="6"/>
        <v>11.757731958762887</v>
      </c>
      <c r="Y27" s="572">
        <f t="shared" si="6"/>
        <v>11.150306748466258</v>
      </c>
      <c r="Z27" s="572">
        <f t="shared" si="6"/>
        <v>11.264542235710673</v>
      </c>
      <c r="AA27" s="572">
        <f t="shared" si="6"/>
        <v>11.920668058455115</v>
      </c>
    </row>
    <row r="28" spans="4:27" x14ac:dyDescent="0.2">
      <c r="D28" s="565"/>
      <c r="E28" s="565"/>
      <c r="F28" s="565"/>
      <c r="G28" s="565"/>
      <c r="H28" s="565"/>
      <c r="I28" s="565"/>
      <c r="J28" s="565"/>
      <c r="K28" s="565"/>
      <c r="L28" s="565"/>
      <c r="M28" s="565"/>
      <c r="N28" s="568"/>
      <c r="O28" s="568"/>
      <c r="P28" s="568"/>
      <c r="Q28" s="568"/>
      <c r="R28" s="568"/>
      <c r="S28" s="568"/>
      <c r="T28" s="568"/>
      <c r="U28" s="568"/>
    </row>
    <row r="29" spans="4:27" x14ac:dyDescent="0.2">
      <c r="D29" s="567" t="s">
        <v>13</v>
      </c>
      <c r="E29" s="565"/>
      <c r="F29" s="565"/>
      <c r="G29" s="565"/>
      <c r="H29" s="565"/>
      <c r="I29" s="565"/>
      <c r="J29" s="565"/>
      <c r="K29" s="565"/>
      <c r="L29" s="565"/>
      <c r="M29" s="565"/>
      <c r="N29" s="568"/>
      <c r="O29" s="568"/>
      <c r="P29" s="568"/>
      <c r="Q29" s="568"/>
      <c r="R29" s="568"/>
      <c r="S29" s="568"/>
      <c r="T29" s="568"/>
      <c r="U29" s="568"/>
    </row>
    <row r="30" spans="4:27" x14ac:dyDescent="0.2">
      <c r="D30" s="565" t="s">
        <v>14</v>
      </c>
      <c r="E30" s="565"/>
      <c r="F30" s="565"/>
      <c r="G30" s="565"/>
      <c r="H30" s="565"/>
      <c r="I30" s="565"/>
      <c r="J30" s="565"/>
      <c r="K30" s="565"/>
      <c r="L30" s="565"/>
      <c r="M30" s="565"/>
      <c r="N30" s="568"/>
      <c r="O30" s="568"/>
      <c r="P30" s="568"/>
      <c r="Q30" s="568"/>
      <c r="R30" s="568"/>
      <c r="S30" s="568"/>
      <c r="T30" s="568"/>
      <c r="U30" s="568"/>
      <c r="V30" s="575"/>
    </row>
    <row r="31" spans="4:27" x14ac:dyDescent="0.2">
      <c r="D31" s="565" t="s">
        <v>11</v>
      </c>
      <c r="E31" s="576">
        <v>2238</v>
      </c>
      <c r="F31" s="568">
        <v>2332</v>
      </c>
      <c r="G31" s="568">
        <v>2297</v>
      </c>
      <c r="H31" s="568">
        <v>2318</v>
      </c>
      <c r="I31" s="568"/>
      <c r="J31" s="568"/>
      <c r="K31" s="568">
        <v>1999</v>
      </c>
      <c r="L31" s="568"/>
      <c r="M31" s="569">
        <v>2436</v>
      </c>
      <c r="N31" s="568">
        <v>2518</v>
      </c>
      <c r="O31" s="568">
        <v>2703</v>
      </c>
      <c r="P31" s="568">
        <v>2933</v>
      </c>
      <c r="Q31" s="568">
        <v>2976</v>
      </c>
      <c r="R31" s="568">
        <v>2676</v>
      </c>
      <c r="S31" s="568">
        <v>2756</v>
      </c>
      <c r="T31" s="568">
        <v>2787</v>
      </c>
      <c r="U31" s="568">
        <v>2886</v>
      </c>
      <c r="V31" s="568">
        <v>3067</v>
      </c>
      <c r="W31" s="568">
        <v>3213</v>
      </c>
      <c r="X31" s="568">
        <v>3379</v>
      </c>
      <c r="Y31" s="568">
        <v>3321</v>
      </c>
      <c r="Z31" s="568">
        <v>3618</v>
      </c>
      <c r="AA31" s="568">
        <v>3409</v>
      </c>
    </row>
    <row r="32" spans="4:27" x14ac:dyDescent="0.2">
      <c r="D32" s="565" t="s">
        <v>328</v>
      </c>
      <c r="E32" s="577">
        <v>220</v>
      </c>
      <c r="F32" s="568">
        <v>202</v>
      </c>
      <c r="G32" s="568">
        <v>196</v>
      </c>
      <c r="H32" s="568">
        <v>214</v>
      </c>
      <c r="I32" s="568"/>
      <c r="J32" s="568"/>
      <c r="K32" s="568">
        <v>160</v>
      </c>
      <c r="L32" s="568"/>
      <c r="M32" s="568">
        <v>222</v>
      </c>
      <c r="N32" s="568">
        <v>218</v>
      </c>
      <c r="O32" s="568">
        <v>245</v>
      </c>
      <c r="P32" s="568">
        <v>297</v>
      </c>
      <c r="Q32" s="568">
        <v>288</v>
      </c>
      <c r="R32" s="568">
        <v>297</v>
      </c>
      <c r="S32" s="568">
        <v>302</v>
      </c>
      <c r="T32" s="568">
        <v>277</v>
      </c>
      <c r="U32" s="568">
        <v>281</v>
      </c>
      <c r="V32" s="568">
        <v>316</v>
      </c>
      <c r="W32" s="578">
        <v>312</v>
      </c>
      <c r="X32" s="568">
        <v>334</v>
      </c>
      <c r="Y32" s="568">
        <v>339</v>
      </c>
      <c r="Z32" s="571">
        <v>330</v>
      </c>
      <c r="AA32" s="568">
        <v>340</v>
      </c>
    </row>
    <row r="33" spans="4:34" x14ac:dyDescent="0.2">
      <c r="D33" s="565" t="s">
        <v>330</v>
      </c>
      <c r="E33" s="570">
        <f t="shared" ref="E33:M33" si="7">E31/E32</f>
        <v>10.172727272727272</v>
      </c>
      <c r="F33" s="570">
        <f t="shared" si="7"/>
        <v>11.544554455445544</v>
      </c>
      <c r="G33" s="570">
        <f t="shared" si="7"/>
        <v>11.719387755102041</v>
      </c>
      <c r="H33" s="570">
        <f t="shared" si="7"/>
        <v>10.83177570093458</v>
      </c>
      <c r="I33" s="570"/>
      <c r="J33" s="570"/>
      <c r="K33" s="570">
        <f t="shared" si="7"/>
        <v>12.49375</v>
      </c>
      <c r="L33" s="570"/>
      <c r="M33" s="570">
        <f t="shared" si="7"/>
        <v>10.972972972972974</v>
      </c>
      <c r="N33" s="568">
        <f>N31/N32</f>
        <v>11.55045871559633</v>
      </c>
      <c r="O33" s="568">
        <f t="shared" ref="O33:U33" si="8">O31/O32</f>
        <v>11.03265306122449</v>
      </c>
      <c r="P33" s="568">
        <f t="shared" si="8"/>
        <v>9.8754208754208754</v>
      </c>
      <c r="Q33" s="568">
        <f t="shared" si="8"/>
        <v>10.333333333333334</v>
      </c>
      <c r="R33" s="568">
        <f t="shared" si="8"/>
        <v>9.0101010101010104</v>
      </c>
      <c r="S33" s="568">
        <f t="shared" si="8"/>
        <v>9.1258278145695364</v>
      </c>
      <c r="T33" s="568">
        <f t="shared" si="8"/>
        <v>10.061371841155236</v>
      </c>
      <c r="U33" s="568">
        <f t="shared" si="8"/>
        <v>10.270462633451958</v>
      </c>
      <c r="V33" s="568">
        <f>V31/V32</f>
        <v>9.7056962025316462</v>
      </c>
      <c r="W33" s="568">
        <f>W31/W32</f>
        <v>10.298076923076923</v>
      </c>
      <c r="X33" s="568">
        <f>X31/X32</f>
        <v>10.116766467065869</v>
      </c>
      <c r="Y33" s="568">
        <f t="shared" ref="Y33:AA33" si="9">Y31/Y32</f>
        <v>9.7964601769911503</v>
      </c>
      <c r="Z33" s="568">
        <f t="shared" si="9"/>
        <v>10.963636363636363</v>
      </c>
      <c r="AA33" s="568">
        <f t="shared" si="9"/>
        <v>10.026470588235295</v>
      </c>
    </row>
    <row r="34" spans="4:34" x14ac:dyDescent="0.2">
      <c r="D34" s="565" t="s">
        <v>329</v>
      </c>
      <c r="E34" s="568"/>
      <c r="F34" s="568"/>
      <c r="G34" s="568"/>
      <c r="H34" s="568"/>
      <c r="I34" s="568"/>
      <c r="J34" s="568"/>
      <c r="K34" s="570"/>
      <c r="L34" s="570"/>
      <c r="M34" s="570"/>
      <c r="N34" s="568"/>
      <c r="O34" s="568"/>
      <c r="P34" s="568"/>
      <c r="Q34" s="568">
        <v>0</v>
      </c>
      <c r="R34" s="568">
        <v>0</v>
      </c>
      <c r="S34" s="568">
        <v>0</v>
      </c>
      <c r="T34" s="568">
        <v>0</v>
      </c>
      <c r="U34" s="572">
        <v>250.4</v>
      </c>
      <c r="V34" s="572">
        <v>273.60000000000002</v>
      </c>
      <c r="W34" s="572">
        <v>271.89999999999998</v>
      </c>
      <c r="X34" s="572">
        <v>286.8</v>
      </c>
      <c r="Y34" s="568">
        <v>407.74</v>
      </c>
      <c r="Z34" s="572">
        <v>287</v>
      </c>
      <c r="AA34" s="572">
        <v>284</v>
      </c>
    </row>
    <row r="35" spans="4:34" x14ac:dyDescent="0.2">
      <c r="D35" s="565" t="s">
        <v>331</v>
      </c>
      <c r="E35" s="568"/>
      <c r="F35" s="568"/>
      <c r="G35" s="568"/>
      <c r="H35" s="568"/>
      <c r="I35" s="568"/>
      <c r="J35" s="568"/>
      <c r="K35" s="570"/>
      <c r="L35" s="570"/>
      <c r="M35" s="570"/>
      <c r="N35" s="568"/>
      <c r="O35" s="568"/>
      <c r="P35" s="568"/>
      <c r="Q35" s="568">
        <v>0</v>
      </c>
      <c r="R35" s="568">
        <v>0</v>
      </c>
      <c r="S35" s="568">
        <v>0</v>
      </c>
      <c r="T35" s="568">
        <v>0</v>
      </c>
      <c r="U35" s="572">
        <f t="shared" ref="U35:AA35" si="10">U31/U34</f>
        <v>11.525559105431309</v>
      </c>
      <c r="V35" s="572">
        <f t="shared" si="10"/>
        <v>11.209795321637426</v>
      </c>
      <c r="W35" s="572">
        <f t="shared" si="10"/>
        <v>11.816844428098566</v>
      </c>
      <c r="X35" s="572">
        <f t="shared" si="10"/>
        <v>11.781729428172943</v>
      </c>
      <c r="Y35" s="572">
        <f t="shared" si="10"/>
        <v>8.1448962574189441</v>
      </c>
      <c r="Z35" s="572">
        <f t="shared" si="10"/>
        <v>12.606271777003485</v>
      </c>
      <c r="AA35" s="572">
        <f t="shared" si="10"/>
        <v>12.003521126760564</v>
      </c>
    </row>
    <row r="36" spans="4:34" x14ac:dyDescent="0.2">
      <c r="D36" s="565"/>
      <c r="E36" s="565"/>
      <c r="F36" s="565"/>
      <c r="G36" s="565"/>
      <c r="H36" s="565"/>
      <c r="I36" s="565"/>
      <c r="J36" s="565"/>
      <c r="K36" s="565"/>
      <c r="L36" s="565"/>
      <c r="M36" s="565"/>
      <c r="N36" s="568"/>
      <c r="O36" s="568"/>
      <c r="P36" s="568"/>
      <c r="Q36" s="568"/>
      <c r="R36" s="568"/>
      <c r="S36" s="568"/>
      <c r="T36" s="568"/>
      <c r="U36" s="568"/>
    </row>
    <row r="37" spans="4:34" x14ac:dyDescent="0.2">
      <c r="D37" s="749" t="s">
        <v>348</v>
      </c>
      <c r="E37" s="749"/>
      <c r="F37" s="749"/>
      <c r="G37" s="749"/>
      <c r="H37" s="749"/>
      <c r="I37" s="749"/>
      <c r="J37" s="749"/>
      <c r="K37" s="749"/>
      <c r="L37" s="749"/>
      <c r="M37" s="749"/>
      <c r="N37" s="749"/>
      <c r="O37" s="749"/>
      <c r="P37" s="749"/>
      <c r="Q37" s="749"/>
      <c r="R37" s="568"/>
      <c r="S37" s="568"/>
      <c r="T37" s="568"/>
      <c r="U37" s="568"/>
    </row>
    <row r="38" spans="4:34" x14ac:dyDescent="0.2">
      <c r="D38" s="565" t="s">
        <v>14</v>
      </c>
      <c r="E38" s="565"/>
      <c r="F38" s="565"/>
      <c r="G38" s="565"/>
      <c r="H38" s="565"/>
      <c r="I38" s="565"/>
      <c r="J38" s="565"/>
      <c r="K38" s="565"/>
      <c r="L38" s="565"/>
      <c r="M38" s="565"/>
      <c r="N38" s="568"/>
      <c r="O38" s="568"/>
      <c r="P38" s="568"/>
      <c r="Q38" s="568"/>
      <c r="R38" s="568"/>
      <c r="S38" s="568"/>
      <c r="T38" s="568"/>
      <c r="U38" s="568"/>
      <c r="V38" s="574"/>
      <c r="AA38" s="492"/>
    </row>
    <row r="39" spans="4:34" x14ac:dyDescent="0.2">
      <c r="D39" s="565" t="s">
        <v>11</v>
      </c>
      <c r="E39" s="570" t="e">
        <f>E31+E23+#REF!+E16</f>
        <v>#REF!</v>
      </c>
      <c r="F39" s="570" t="e">
        <f>F31+F23+#REF!+F16</f>
        <v>#REF!</v>
      </c>
      <c r="G39" s="570" t="e">
        <f>G31+G23+#REF!+G16</f>
        <v>#REF!</v>
      </c>
      <c r="H39" s="570" t="e">
        <f>H31+H23+#REF!+H16</f>
        <v>#REF!</v>
      </c>
      <c r="I39" s="570"/>
      <c r="J39" s="570"/>
      <c r="K39" s="570" t="e">
        <f>K31+K23+#REF!+K16</f>
        <v>#REF!</v>
      </c>
      <c r="L39" s="570"/>
      <c r="M39" s="570" t="e">
        <f>M31+M23+#REF!+M16</f>
        <v>#REF!</v>
      </c>
      <c r="N39" s="568" t="e">
        <f>N31+N23+#REF!+N16</f>
        <v>#REF!</v>
      </c>
      <c r="O39" s="568">
        <v>7340</v>
      </c>
      <c r="P39" s="568">
        <v>7574</v>
      </c>
      <c r="Q39" s="568">
        <v>7698</v>
      </c>
      <c r="R39" s="568">
        <v>7624</v>
      </c>
      <c r="S39" s="568">
        <v>7738</v>
      </c>
      <c r="T39" s="568">
        <f>T31+T23+T16</f>
        <v>7743</v>
      </c>
      <c r="U39" s="568">
        <f t="shared" ref="U39:Z39" si="11">SUM(U16,U23,U31)</f>
        <v>7722</v>
      </c>
      <c r="V39" s="568">
        <f t="shared" si="11"/>
        <v>7806</v>
      </c>
      <c r="W39" s="568">
        <f t="shared" si="11"/>
        <v>7921</v>
      </c>
      <c r="X39" s="568">
        <f t="shared" si="11"/>
        <v>8078</v>
      </c>
      <c r="Y39" s="568">
        <f t="shared" si="11"/>
        <v>7877</v>
      </c>
      <c r="Z39" s="568">
        <f t="shared" si="11"/>
        <v>8241</v>
      </c>
      <c r="AA39" s="492">
        <f>SUM(AA16,AA23,AA31)</f>
        <v>8045</v>
      </c>
    </row>
    <row r="40" spans="4:34" x14ac:dyDescent="0.2">
      <c r="D40" s="565" t="s">
        <v>328</v>
      </c>
      <c r="E40" s="570" t="e">
        <f>E32+E24+#REF!+E17</f>
        <v>#REF!</v>
      </c>
      <c r="F40" s="570" t="e">
        <f>F32+F24+#REF!+F17</f>
        <v>#REF!</v>
      </c>
      <c r="G40" s="570" t="e">
        <f>G32+G24+#REF!+G17</f>
        <v>#REF!</v>
      </c>
      <c r="H40" s="570" t="e">
        <f>H32+H24+#REF!+H17</f>
        <v>#REF!</v>
      </c>
      <c r="I40" s="570"/>
      <c r="J40" s="570"/>
      <c r="K40" s="570" t="e">
        <f>K32+K24+#REF!+K17</f>
        <v>#REF!</v>
      </c>
      <c r="L40" s="570"/>
      <c r="M40" s="570" t="e">
        <f>M32+M24+#REF!+M17</f>
        <v>#REF!</v>
      </c>
      <c r="N40" s="568" t="e">
        <f>N32+N24+#REF!+N17</f>
        <v>#REF!</v>
      </c>
      <c r="O40" s="568">
        <v>666</v>
      </c>
      <c r="P40" s="568">
        <v>721</v>
      </c>
      <c r="Q40" s="568">
        <v>707</v>
      </c>
      <c r="R40" s="568">
        <v>714</v>
      </c>
      <c r="S40" s="568">
        <v>731</v>
      </c>
      <c r="T40" s="568">
        <f>T32+T24+T17</f>
        <v>691</v>
      </c>
      <c r="U40" s="568">
        <f>SUM(U17+U24+U32)</f>
        <v>726</v>
      </c>
      <c r="V40" s="568">
        <f>SUM(V17+V24+V32)</f>
        <v>737</v>
      </c>
      <c r="W40" s="568">
        <f>SUM(W17+W24+W32)</f>
        <v>723</v>
      </c>
      <c r="X40" s="568">
        <f>SUM(X17+X24+X32)</f>
        <v>788</v>
      </c>
      <c r="Y40" s="568">
        <v>731</v>
      </c>
      <c r="Z40" s="568">
        <f>SUM(Z17+Z24+Z32)</f>
        <v>750</v>
      </c>
      <c r="AA40" s="568">
        <f>SUM(AA17+AA24+AA32)</f>
        <v>766</v>
      </c>
    </row>
    <row r="41" spans="4:34" x14ac:dyDescent="0.2">
      <c r="D41" s="565" t="s">
        <v>330</v>
      </c>
      <c r="E41" s="570" t="e">
        <f t="shared" ref="E41:K41" si="12">E39/E40</f>
        <v>#REF!</v>
      </c>
      <c r="F41" s="570" t="e">
        <f t="shared" si="12"/>
        <v>#REF!</v>
      </c>
      <c r="G41" s="570" t="e">
        <f t="shared" si="12"/>
        <v>#REF!</v>
      </c>
      <c r="H41" s="570" t="e">
        <f t="shared" si="12"/>
        <v>#REF!</v>
      </c>
      <c r="I41" s="570"/>
      <c r="J41" s="570"/>
      <c r="K41" s="570" t="e">
        <f t="shared" si="12"/>
        <v>#REF!</v>
      </c>
      <c r="L41" s="570"/>
      <c r="M41" s="570"/>
      <c r="N41" s="568" t="e">
        <f>N39/N40</f>
        <v>#REF!</v>
      </c>
      <c r="O41" s="568">
        <v>11.021021021021021</v>
      </c>
      <c r="P41" s="568">
        <v>10.504854368932039</v>
      </c>
      <c r="Q41" s="568">
        <v>10.888260254596888</v>
      </c>
      <c r="R41" s="568">
        <v>10.677871148459383</v>
      </c>
      <c r="S41" s="568">
        <v>10.585499316005471</v>
      </c>
      <c r="T41" s="568">
        <f>T39/T40</f>
        <v>11.205499276410999</v>
      </c>
      <c r="U41" s="568">
        <f>U39/U40</f>
        <v>10.636363636363637</v>
      </c>
      <c r="V41" s="568">
        <v>10.4144493010958</v>
      </c>
      <c r="W41" s="568">
        <v>10.4144493010958</v>
      </c>
      <c r="X41" s="568">
        <f>X39/X40</f>
        <v>10.251269035532994</v>
      </c>
      <c r="Y41" s="568">
        <v>10.585499316005471</v>
      </c>
      <c r="Z41" s="568">
        <f>Z39/Z40</f>
        <v>10.988</v>
      </c>
      <c r="AA41" s="568">
        <f>AA39/AA40</f>
        <v>10.502610966057441</v>
      </c>
    </row>
    <row r="42" spans="4:34" x14ac:dyDescent="0.2">
      <c r="D42" s="565" t="s">
        <v>329</v>
      </c>
      <c r="E42" s="568"/>
      <c r="F42" s="568"/>
      <c r="G42" s="568"/>
      <c r="H42" s="568"/>
      <c r="I42" s="568"/>
      <c r="J42" s="568"/>
      <c r="K42" s="570"/>
      <c r="L42" s="570"/>
      <c r="M42" s="570"/>
      <c r="N42" s="568"/>
      <c r="O42" s="568"/>
      <c r="P42" s="568"/>
      <c r="Q42" s="568">
        <v>0</v>
      </c>
      <c r="R42" s="568">
        <v>0</v>
      </c>
      <c r="S42" s="568">
        <v>0</v>
      </c>
      <c r="T42" s="568">
        <v>0</v>
      </c>
      <c r="U42" s="568">
        <f>SUM(U19,U26,U34)</f>
        <v>589.69999999999993</v>
      </c>
      <c r="V42" s="568">
        <f>SUM(V19,V26,V34)</f>
        <v>623.40000000000009</v>
      </c>
      <c r="W42" s="568">
        <f>SUM(W19+W26+W34)</f>
        <v>632.20000000000005</v>
      </c>
      <c r="X42" s="568">
        <f>SUM(X19,X26,X34)</f>
        <v>657.6</v>
      </c>
      <c r="Y42" s="568">
        <f>SUM(Y19,Y26,Y34)</f>
        <v>789.04</v>
      </c>
      <c r="Z42" s="568">
        <f>SUM(Z19,Z26,Z34)</f>
        <v>650.70000000000005</v>
      </c>
      <c r="AA42" s="568">
        <f>SUM(AA19,AA26,AA34)</f>
        <v>638.6</v>
      </c>
    </row>
    <row r="43" spans="4:34" x14ac:dyDescent="0.2">
      <c r="D43" s="565" t="s">
        <v>331</v>
      </c>
      <c r="E43" s="568"/>
      <c r="F43" s="568"/>
      <c r="G43" s="568"/>
      <c r="H43" s="568"/>
      <c r="I43" s="568"/>
      <c r="J43" s="568"/>
      <c r="K43" s="570"/>
      <c r="L43" s="570"/>
      <c r="M43" s="570"/>
      <c r="N43" s="568"/>
      <c r="O43" s="568"/>
      <c r="P43" s="568"/>
      <c r="Q43" s="568">
        <v>0</v>
      </c>
      <c r="R43" s="568">
        <v>0</v>
      </c>
      <c r="S43" s="568">
        <v>0</v>
      </c>
      <c r="T43" s="568">
        <v>0</v>
      </c>
      <c r="U43" s="572">
        <f t="shared" ref="U43:Z43" si="13">U39/U42</f>
        <v>13.094793963032052</v>
      </c>
      <c r="V43" s="572">
        <f t="shared" si="13"/>
        <v>12.521655437921076</v>
      </c>
      <c r="W43" s="572">
        <f t="shared" si="13"/>
        <v>12.529262891490033</v>
      </c>
      <c r="X43" s="572">
        <f t="shared" si="13"/>
        <v>12.284063260340632</v>
      </c>
      <c r="Y43" s="572">
        <f t="shared" si="13"/>
        <v>9.98301733752408</v>
      </c>
      <c r="Z43" s="572">
        <f t="shared" si="13"/>
        <v>12.664822498847395</v>
      </c>
      <c r="AA43" s="572">
        <f t="shared" ref="AA43" si="14">AA39/AA42</f>
        <v>12.597870341371751</v>
      </c>
    </row>
    <row r="44" spans="4:34" x14ac:dyDescent="0.2">
      <c r="D44" s="567"/>
      <c r="E44" s="565"/>
      <c r="F44" s="565"/>
      <c r="G44" s="565"/>
      <c r="H44" s="565"/>
      <c r="I44" s="565"/>
      <c r="J44" s="565"/>
      <c r="K44" s="565"/>
      <c r="L44" s="565"/>
      <c r="M44" s="565"/>
      <c r="N44" s="568"/>
      <c r="O44" s="568"/>
      <c r="P44" s="568"/>
      <c r="Q44" s="568"/>
      <c r="R44" s="568"/>
      <c r="S44" s="568"/>
      <c r="T44" s="568"/>
      <c r="U44" s="568"/>
    </row>
    <row r="45" spans="4:34" x14ac:dyDescent="0.2">
      <c r="D45" s="565"/>
      <c r="E45" s="579"/>
      <c r="F45" s="579"/>
      <c r="G45" s="579"/>
      <c r="H45" s="579"/>
      <c r="I45" s="579"/>
      <c r="J45" s="579"/>
      <c r="K45" s="579"/>
      <c r="L45" s="579"/>
      <c r="M45" s="579"/>
      <c r="N45" s="568"/>
      <c r="O45" s="568"/>
      <c r="P45" s="568"/>
      <c r="Q45" s="568"/>
      <c r="R45" s="568"/>
      <c r="S45" s="568"/>
      <c r="T45" s="568"/>
      <c r="U45" s="568"/>
    </row>
    <row r="46" spans="4:34" x14ac:dyDescent="0.2">
      <c r="D46" s="580" t="s">
        <v>142</v>
      </c>
      <c r="E46" s="579"/>
      <c r="F46" s="579"/>
      <c r="G46" s="579"/>
      <c r="H46" s="579"/>
      <c r="I46" s="579"/>
      <c r="J46" s="579"/>
      <c r="K46" s="579"/>
      <c r="L46" s="579"/>
      <c r="M46" s="579"/>
      <c r="N46" s="568"/>
      <c r="O46" s="568"/>
      <c r="P46" s="568"/>
      <c r="Q46" s="568"/>
      <c r="R46" s="568"/>
      <c r="S46" s="568"/>
      <c r="T46" s="568"/>
      <c r="U46" s="568"/>
    </row>
    <row r="47" spans="4:34" x14ac:dyDescent="0.2">
      <c r="D47" s="567" t="s">
        <v>333</v>
      </c>
      <c r="E47" s="565"/>
      <c r="F47" s="565"/>
      <c r="G47" s="565"/>
      <c r="H47" s="565"/>
      <c r="I47" s="565"/>
      <c r="J47" s="565"/>
      <c r="K47" s="565"/>
      <c r="L47" s="565"/>
      <c r="M47" s="565"/>
      <c r="N47" s="568"/>
      <c r="O47" s="568"/>
      <c r="P47" s="568"/>
      <c r="Q47" s="568"/>
      <c r="R47" s="568"/>
      <c r="S47" s="568"/>
      <c r="T47" s="568"/>
      <c r="U47" s="568"/>
    </row>
    <row r="48" spans="4:34" x14ac:dyDescent="0.2">
      <c r="D48" s="565" t="s">
        <v>14</v>
      </c>
      <c r="E48" s="565"/>
      <c r="F48" s="565"/>
      <c r="G48" s="565"/>
      <c r="H48" s="565"/>
      <c r="I48" s="565"/>
      <c r="J48" s="565"/>
      <c r="K48" s="565"/>
      <c r="L48" s="565"/>
      <c r="M48" s="565"/>
      <c r="N48" s="568"/>
      <c r="O48" s="568"/>
      <c r="P48" s="568"/>
      <c r="Q48" s="568"/>
      <c r="R48" s="568"/>
      <c r="S48" s="568"/>
      <c r="T48" s="568"/>
      <c r="U48" s="568"/>
      <c r="Z48" s="581"/>
      <c r="AA48" s="581"/>
      <c r="AB48" s="581"/>
      <c r="AC48" s="581"/>
      <c r="AD48" s="581"/>
      <c r="AE48" s="581"/>
      <c r="AF48" s="581"/>
      <c r="AG48" s="581"/>
      <c r="AH48" s="581"/>
    </row>
    <row r="49" spans="2:42" x14ac:dyDescent="0.2">
      <c r="D49" s="565" t="s">
        <v>11</v>
      </c>
      <c r="E49" s="568">
        <v>97</v>
      </c>
      <c r="F49" s="568">
        <v>69</v>
      </c>
      <c r="G49" s="568">
        <v>98</v>
      </c>
      <c r="H49" s="568">
        <v>105</v>
      </c>
      <c r="I49" s="568"/>
      <c r="J49" s="568"/>
      <c r="K49" s="568">
        <v>102</v>
      </c>
      <c r="L49" s="568"/>
      <c r="M49" s="568">
        <v>83</v>
      </c>
      <c r="N49" s="568">
        <v>89</v>
      </c>
      <c r="O49" s="568">
        <v>183</v>
      </c>
      <c r="P49" s="568">
        <v>256</v>
      </c>
      <c r="Q49" s="568">
        <v>265</v>
      </c>
      <c r="R49" s="568">
        <v>410</v>
      </c>
      <c r="S49" s="568">
        <v>370</v>
      </c>
      <c r="T49" s="568">
        <v>345</v>
      </c>
      <c r="U49" s="568">
        <v>396</v>
      </c>
      <c r="V49" s="565">
        <v>379</v>
      </c>
      <c r="W49" s="582">
        <v>439</v>
      </c>
      <c r="X49" s="565">
        <v>442</v>
      </c>
      <c r="Y49" s="565">
        <v>493</v>
      </c>
      <c r="Z49" s="583">
        <v>392</v>
      </c>
      <c r="AA49" s="583">
        <v>482</v>
      </c>
      <c r="AB49" s="584"/>
      <c r="AC49" s="585"/>
      <c r="AD49" s="585"/>
      <c r="AE49" s="585"/>
      <c r="AF49" s="585"/>
      <c r="AG49" s="585"/>
      <c r="AH49" s="585"/>
      <c r="AI49" s="585"/>
      <c r="AJ49" s="585"/>
      <c r="AK49" s="585"/>
      <c r="AL49" s="585"/>
      <c r="AM49" s="585"/>
      <c r="AN49" s="585"/>
      <c r="AO49" s="585"/>
    </row>
    <row r="50" spans="2:42" x14ac:dyDescent="0.2">
      <c r="D50" s="565" t="s">
        <v>12</v>
      </c>
      <c r="E50" s="568">
        <v>30</v>
      </c>
      <c r="F50" s="568">
        <v>24</v>
      </c>
      <c r="G50" s="568">
        <v>22</v>
      </c>
      <c r="H50" s="568">
        <v>20</v>
      </c>
      <c r="I50" s="568"/>
      <c r="J50" s="568"/>
      <c r="K50" s="568">
        <v>19</v>
      </c>
      <c r="L50" s="568"/>
      <c r="M50" s="568">
        <v>25</v>
      </c>
      <c r="N50" s="568">
        <v>28</v>
      </c>
      <c r="O50" s="568">
        <v>31</v>
      </c>
      <c r="P50" s="568">
        <v>43</v>
      </c>
      <c r="Q50" s="568">
        <v>53</v>
      </c>
      <c r="R50" s="568">
        <v>52</v>
      </c>
      <c r="S50" s="568">
        <v>0</v>
      </c>
      <c r="T50" s="568">
        <v>0</v>
      </c>
      <c r="U50" s="568">
        <v>0</v>
      </c>
      <c r="V50" s="565"/>
      <c r="W50" s="570">
        <v>74</v>
      </c>
      <c r="X50" s="565">
        <v>76</v>
      </c>
      <c r="Y50" s="565">
        <v>93</v>
      </c>
      <c r="Z50" s="565">
        <v>81</v>
      </c>
      <c r="AA50" s="299">
        <v>93</v>
      </c>
      <c r="AB50" s="586"/>
      <c r="AC50" s="585"/>
      <c r="AD50" s="585"/>
      <c r="AE50" s="585"/>
      <c r="AF50" s="585"/>
      <c r="AG50" s="585"/>
      <c r="AH50" s="585"/>
      <c r="AI50" s="585"/>
      <c r="AJ50" s="585"/>
      <c r="AK50" s="585"/>
      <c r="AL50" s="585"/>
      <c r="AM50" s="585"/>
      <c r="AN50" s="585"/>
      <c r="AO50" s="585"/>
    </row>
    <row r="51" spans="2:42" x14ac:dyDescent="0.2">
      <c r="D51" s="565" t="s">
        <v>189</v>
      </c>
      <c r="E51" s="570">
        <f t="shared" ref="E51:N51" si="15">E49/E50</f>
        <v>3.2333333333333334</v>
      </c>
      <c r="F51" s="570">
        <f t="shared" si="15"/>
        <v>2.875</v>
      </c>
      <c r="G51" s="570">
        <f t="shared" si="15"/>
        <v>4.4545454545454541</v>
      </c>
      <c r="H51" s="570">
        <f t="shared" si="15"/>
        <v>5.25</v>
      </c>
      <c r="I51" s="570"/>
      <c r="J51" s="570"/>
      <c r="K51" s="570">
        <f t="shared" si="15"/>
        <v>5.3684210526315788</v>
      </c>
      <c r="L51" s="570"/>
      <c r="M51" s="570">
        <f t="shared" si="15"/>
        <v>3.32</v>
      </c>
      <c r="N51" s="568">
        <f t="shared" si="15"/>
        <v>3.1785714285714284</v>
      </c>
      <c r="O51" s="568">
        <f>O49/O50</f>
        <v>5.903225806451613</v>
      </c>
      <c r="P51" s="568">
        <f>P49/P50</f>
        <v>5.9534883720930232</v>
      </c>
      <c r="Q51" s="568">
        <f>Q49/Q50</f>
        <v>5</v>
      </c>
      <c r="R51" s="568">
        <f>R49/R50</f>
        <v>7.884615384615385</v>
      </c>
      <c r="S51" s="568">
        <v>0</v>
      </c>
      <c r="T51" s="568">
        <v>0</v>
      </c>
      <c r="U51" s="568">
        <v>0</v>
      </c>
      <c r="V51" s="565"/>
      <c r="W51" s="568">
        <f>W49/W50</f>
        <v>5.9324324324324325</v>
      </c>
      <c r="X51" s="568">
        <f>X49/X50</f>
        <v>5.8157894736842106</v>
      </c>
      <c r="Y51" s="568">
        <f>Y49/Y50</f>
        <v>5.301075268817204</v>
      </c>
      <c r="Z51" s="568">
        <f>Z49/Z50</f>
        <v>4.8395061728395063</v>
      </c>
      <c r="AA51" s="568">
        <f>AA49/AA50</f>
        <v>5.182795698924731</v>
      </c>
      <c r="AB51" s="586"/>
      <c r="AC51" s="585"/>
      <c r="AD51" s="585"/>
      <c r="AE51" s="585"/>
      <c r="AF51" s="585"/>
      <c r="AG51" s="585"/>
      <c r="AH51" s="585"/>
      <c r="AI51" s="585"/>
      <c r="AJ51" s="585"/>
      <c r="AK51" s="585"/>
      <c r="AL51" s="585"/>
      <c r="AM51" s="585"/>
      <c r="AN51" s="585"/>
      <c r="AO51" s="585"/>
    </row>
    <row r="52" spans="2:42" x14ac:dyDescent="0.2">
      <c r="D52" s="565" t="s">
        <v>212</v>
      </c>
      <c r="E52" s="570"/>
      <c r="F52" s="570"/>
      <c r="G52" s="570"/>
      <c r="H52" s="570"/>
      <c r="I52" s="570"/>
      <c r="J52" s="570"/>
      <c r="K52" s="570"/>
      <c r="L52" s="570"/>
      <c r="M52" s="570"/>
      <c r="N52" s="568"/>
      <c r="O52" s="568"/>
      <c r="P52" s="568">
        <v>0</v>
      </c>
      <c r="Q52" s="568">
        <v>0</v>
      </c>
      <c r="R52" s="568">
        <v>0</v>
      </c>
      <c r="S52" s="568">
        <v>34</v>
      </c>
      <c r="T52" s="568">
        <v>33</v>
      </c>
      <c r="U52" s="568">
        <v>33</v>
      </c>
      <c r="V52" s="565">
        <v>34.5</v>
      </c>
      <c r="W52" s="568">
        <v>38</v>
      </c>
      <c r="X52" s="568">
        <v>39</v>
      </c>
      <c r="Y52" s="568">
        <v>48</v>
      </c>
      <c r="Z52" s="568">
        <v>48</v>
      </c>
      <c r="AA52" s="587">
        <v>41</v>
      </c>
      <c r="AB52" s="585"/>
      <c r="AC52" s="585"/>
      <c r="AD52" s="585"/>
      <c r="AE52" s="585"/>
      <c r="AF52" s="585"/>
      <c r="AG52" s="585"/>
      <c r="AH52" s="585"/>
      <c r="AI52" s="585"/>
      <c r="AJ52" s="585"/>
      <c r="AK52" s="585"/>
      <c r="AL52" s="585"/>
      <c r="AM52" s="585"/>
      <c r="AN52" s="585"/>
      <c r="AO52" s="585"/>
    </row>
    <row r="53" spans="2:42" x14ac:dyDescent="0.2">
      <c r="D53" s="565" t="s">
        <v>213</v>
      </c>
      <c r="E53" s="570"/>
      <c r="F53" s="570"/>
      <c r="G53" s="570"/>
      <c r="H53" s="570"/>
      <c r="I53" s="570"/>
      <c r="J53" s="570"/>
      <c r="K53" s="570"/>
      <c r="L53" s="570"/>
      <c r="M53" s="570"/>
      <c r="N53" s="568"/>
      <c r="O53" s="568"/>
      <c r="P53" s="568">
        <v>0</v>
      </c>
      <c r="Q53" s="568">
        <v>0</v>
      </c>
      <c r="R53" s="568">
        <v>0</v>
      </c>
      <c r="S53" s="568">
        <v>37</v>
      </c>
      <c r="T53" s="568">
        <v>39</v>
      </c>
      <c r="U53" s="568">
        <v>40</v>
      </c>
      <c r="V53" s="565">
        <v>40</v>
      </c>
      <c r="W53" s="568">
        <v>40</v>
      </c>
      <c r="X53" s="568">
        <v>37</v>
      </c>
      <c r="Y53" s="568">
        <v>45</v>
      </c>
      <c r="Z53" s="568">
        <v>44</v>
      </c>
      <c r="AA53" s="568">
        <v>52</v>
      </c>
      <c r="AB53" s="588"/>
      <c r="AC53" s="422"/>
      <c r="AD53" s="422"/>
      <c r="AE53" s="589"/>
      <c r="AF53" s="589"/>
      <c r="AG53" s="589"/>
      <c r="AH53" s="422"/>
      <c r="AI53" s="422"/>
      <c r="AJ53" s="588"/>
      <c r="AK53" s="422"/>
      <c r="AL53" s="422"/>
      <c r="AM53" s="401"/>
      <c r="AN53" s="401"/>
      <c r="AO53" s="401"/>
      <c r="AP53" s="401"/>
    </row>
    <row r="54" spans="2:42" x14ac:dyDescent="0.2">
      <c r="D54" s="565" t="s">
        <v>332</v>
      </c>
      <c r="E54" s="570"/>
      <c r="F54" s="570"/>
      <c r="G54" s="570"/>
      <c r="H54" s="570"/>
      <c r="I54" s="570"/>
      <c r="J54" s="570"/>
      <c r="K54" s="570"/>
      <c r="L54" s="570"/>
      <c r="M54" s="570"/>
      <c r="N54" s="568"/>
      <c r="O54" s="568"/>
      <c r="P54" s="568">
        <v>0</v>
      </c>
      <c r="Q54" s="568">
        <v>0</v>
      </c>
      <c r="R54" s="568">
        <v>0</v>
      </c>
      <c r="S54" s="568">
        <v>5</v>
      </c>
      <c r="T54" s="568">
        <f>T49/(T52+T53)</f>
        <v>4.791666666666667</v>
      </c>
      <c r="U54" s="568">
        <f>U49/(U52+U53)</f>
        <v>5.4246575342465757</v>
      </c>
      <c r="V54" s="568">
        <f>V49/(V52+V53)</f>
        <v>5.0872483221476514</v>
      </c>
      <c r="W54" s="568">
        <v>6</v>
      </c>
      <c r="X54" s="568">
        <f>X49/(X52+X53)</f>
        <v>5.8157894736842106</v>
      </c>
      <c r="Y54" s="568">
        <v>7</v>
      </c>
      <c r="Z54" s="568">
        <v>7</v>
      </c>
      <c r="AA54" s="568">
        <v>6</v>
      </c>
      <c r="AB54" s="590"/>
      <c r="AC54" s="422"/>
      <c r="AD54" s="422"/>
      <c r="AE54" s="591"/>
      <c r="AF54" s="591"/>
      <c r="AG54" s="422"/>
      <c r="AH54" s="422"/>
      <c r="AI54" s="422"/>
      <c r="AJ54" s="590"/>
      <c r="AK54" s="422"/>
      <c r="AL54" s="422"/>
      <c r="AM54" s="400"/>
      <c r="AN54" s="400"/>
      <c r="AO54" s="400"/>
      <c r="AP54" s="400"/>
    </row>
    <row r="55" spans="2:42" x14ac:dyDescent="0.2">
      <c r="B55" s="50"/>
      <c r="D55" s="565"/>
      <c r="E55" s="570"/>
      <c r="F55" s="570"/>
      <c r="G55" s="570"/>
      <c r="H55" s="570"/>
      <c r="I55" s="570"/>
      <c r="J55" s="570"/>
      <c r="K55" s="570"/>
      <c r="L55" s="570"/>
      <c r="M55" s="570"/>
      <c r="N55" s="568"/>
      <c r="O55" s="568"/>
      <c r="P55" s="568"/>
      <c r="Q55" s="568"/>
      <c r="R55" s="568"/>
      <c r="S55" s="568"/>
      <c r="T55" s="568"/>
      <c r="U55" s="568"/>
      <c r="V55" s="565"/>
      <c r="X55" s="565"/>
      <c r="Y55" s="565"/>
      <c r="AB55" s="590"/>
      <c r="AC55" s="422"/>
      <c r="AD55" s="422"/>
      <c r="AE55" s="591"/>
      <c r="AF55" s="591"/>
      <c r="AG55" s="422"/>
      <c r="AH55" s="422"/>
      <c r="AI55" s="422"/>
      <c r="AJ55" s="590"/>
      <c r="AK55" s="422"/>
      <c r="AL55" s="422"/>
      <c r="AM55" s="400"/>
      <c r="AN55" s="400"/>
      <c r="AO55" s="400"/>
      <c r="AP55" s="400"/>
    </row>
    <row r="56" spans="2:42" x14ac:dyDescent="0.2">
      <c r="D56" s="567" t="s">
        <v>201</v>
      </c>
      <c r="E56" s="570"/>
      <c r="F56" s="570"/>
      <c r="G56" s="570"/>
      <c r="H56" s="570"/>
      <c r="I56" s="570"/>
      <c r="J56" s="570"/>
      <c r="K56" s="570"/>
      <c r="L56" s="570"/>
      <c r="M56" s="570"/>
      <c r="N56" s="568"/>
      <c r="O56" s="568"/>
      <c r="P56" s="568"/>
      <c r="Q56" s="568"/>
      <c r="R56" s="568"/>
      <c r="S56" s="568"/>
      <c r="T56" s="568"/>
      <c r="U56" s="568"/>
      <c r="AB56" s="590"/>
      <c r="AC56" s="422"/>
      <c r="AD56" s="422"/>
      <c r="AE56" s="591"/>
      <c r="AF56" s="591"/>
      <c r="AG56" s="422"/>
      <c r="AH56" s="422"/>
      <c r="AI56" s="422"/>
      <c r="AJ56" s="590"/>
      <c r="AK56" s="422"/>
      <c r="AL56" s="422"/>
      <c r="AM56" s="400"/>
      <c r="AN56" s="400"/>
      <c r="AO56" s="400"/>
      <c r="AP56" s="400"/>
    </row>
    <row r="57" spans="2:42" x14ac:dyDescent="0.2">
      <c r="D57" s="567" t="s">
        <v>16</v>
      </c>
      <c r="E57" s="565"/>
      <c r="F57" s="565"/>
      <c r="G57" s="565"/>
      <c r="H57" s="565"/>
      <c r="I57" s="565"/>
      <c r="J57" s="565"/>
      <c r="K57" s="565"/>
      <c r="L57" s="565"/>
      <c r="M57" s="565"/>
      <c r="N57" s="568"/>
      <c r="O57" s="568"/>
      <c r="P57" s="568"/>
      <c r="Q57" s="568"/>
      <c r="R57" s="568"/>
      <c r="S57" s="568"/>
      <c r="T57" s="568"/>
      <c r="U57" s="568"/>
      <c r="AB57" s="590"/>
      <c r="AC57" s="422"/>
      <c r="AD57" s="422"/>
      <c r="AE57" s="591"/>
      <c r="AF57" s="591"/>
      <c r="AG57" s="422"/>
      <c r="AH57" s="422"/>
      <c r="AI57" s="422"/>
      <c r="AJ57" s="590"/>
      <c r="AK57" s="422"/>
      <c r="AL57" s="422"/>
      <c r="AM57" s="400"/>
      <c r="AN57" s="400"/>
      <c r="AO57" s="400"/>
      <c r="AP57" s="400"/>
    </row>
    <row r="58" spans="2:42" x14ac:dyDescent="0.2">
      <c r="D58" s="565" t="s">
        <v>11</v>
      </c>
      <c r="E58" s="568">
        <v>53</v>
      </c>
      <c r="F58" s="568">
        <v>57</v>
      </c>
      <c r="G58" s="568">
        <v>65</v>
      </c>
      <c r="H58" s="568">
        <v>60</v>
      </c>
      <c r="I58" s="568"/>
      <c r="J58" s="568"/>
      <c r="K58" s="568">
        <v>67</v>
      </c>
      <c r="L58" s="568"/>
      <c r="M58" s="568">
        <v>61</v>
      </c>
      <c r="N58" s="568">
        <v>56</v>
      </c>
      <c r="O58" s="568">
        <v>56</v>
      </c>
      <c r="P58" s="568">
        <v>62</v>
      </c>
      <c r="Q58" s="568">
        <v>61</v>
      </c>
      <c r="R58" s="568">
        <v>86</v>
      </c>
      <c r="S58" s="568">
        <v>92</v>
      </c>
      <c r="T58" s="568">
        <v>99</v>
      </c>
      <c r="U58" s="568">
        <v>103</v>
      </c>
      <c r="V58" s="568">
        <v>109</v>
      </c>
      <c r="W58" s="568">
        <v>109</v>
      </c>
      <c r="X58" s="568">
        <v>103</v>
      </c>
      <c r="Y58" s="568">
        <v>100</v>
      </c>
      <c r="Z58" s="568">
        <v>110</v>
      </c>
      <c r="AA58" s="568">
        <v>115</v>
      </c>
      <c r="AB58" s="590"/>
      <c r="AC58" s="422"/>
      <c r="AD58" s="422"/>
      <c r="AE58" s="591"/>
      <c r="AF58" s="591"/>
      <c r="AG58" s="422"/>
      <c r="AH58" s="422"/>
      <c r="AI58" s="422"/>
      <c r="AJ58" s="590"/>
      <c r="AK58" s="422"/>
      <c r="AL58" s="422"/>
      <c r="AM58" s="400"/>
      <c r="AN58" s="400"/>
      <c r="AO58" s="400"/>
      <c r="AP58" s="400"/>
    </row>
    <row r="59" spans="2:42" x14ac:dyDescent="0.2">
      <c r="D59" s="565" t="s">
        <v>12</v>
      </c>
      <c r="E59" s="568">
        <v>18</v>
      </c>
      <c r="F59" s="568">
        <v>17</v>
      </c>
      <c r="G59" s="568">
        <v>15</v>
      </c>
      <c r="H59" s="568">
        <v>12</v>
      </c>
      <c r="I59" s="568"/>
      <c r="J59" s="568"/>
      <c r="K59" s="568">
        <v>11</v>
      </c>
      <c r="L59" s="568"/>
      <c r="M59" s="568">
        <v>18</v>
      </c>
      <c r="N59" s="568">
        <v>17</v>
      </c>
      <c r="O59" s="568">
        <v>19</v>
      </c>
      <c r="P59" s="568">
        <v>18</v>
      </c>
      <c r="Q59" s="568">
        <v>20</v>
      </c>
      <c r="R59" s="568">
        <v>19</v>
      </c>
      <c r="S59" s="568">
        <v>17</v>
      </c>
      <c r="T59" s="568">
        <v>19</v>
      </c>
      <c r="U59" s="568">
        <v>18</v>
      </c>
      <c r="V59" s="568">
        <v>18</v>
      </c>
      <c r="W59" s="568">
        <v>18</v>
      </c>
      <c r="X59" s="568">
        <v>19</v>
      </c>
      <c r="Y59" s="568">
        <v>16</v>
      </c>
      <c r="Z59" s="568">
        <v>18</v>
      </c>
      <c r="AA59" s="568">
        <v>18</v>
      </c>
      <c r="AB59" s="590"/>
      <c r="AC59" s="422"/>
      <c r="AD59" s="422"/>
      <c r="AE59" s="591"/>
      <c r="AF59" s="591"/>
      <c r="AG59" s="422"/>
      <c r="AH59" s="422"/>
      <c r="AI59" s="422"/>
      <c r="AJ59" s="590"/>
      <c r="AK59" s="422"/>
      <c r="AL59" s="422"/>
      <c r="AM59" s="400"/>
      <c r="AN59" s="400"/>
      <c r="AO59" s="400"/>
      <c r="AP59" s="400"/>
    </row>
    <row r="60" spans="2:42" x14ac:dyDescent="0.2">
      <c r="D60" s="592" t="s">
        <v>189</v>
      </c>
      <c r="E60" s="593">
        <f t="shared" ref="E60:O60" si="16">E58/E59</f>
        <v>2.9444444444444446</v>
      </c>
      <c r="F60" s="593">
        <f t="shared" si="16"/>
        <v>3.3529411764705883</v>
      </c>
      <c r="G60" s="593">
        <f t="shared" si="16"/>
        <v>4.333333333333333</v>
      </c>
      <c r="H60" s="593">
        <f t="shared" si="16"/>
        <v>5</v>
      </c>
      <c r="I60" s="593"/>
      <c r="J60" s="593"/>
      <c r="K60" s="593">
        <f t="shared" si="16"/>
        <v>6.0909090909090908</v>
      </c>
      <c r="L60" s="593"/>
      <c r="M60" s="593">
        <f t="shared" si="16"/>
        <v>3.3888888888888888</v>
      </c>
      <c r="N60" s="594">
        <f t="shared" si="16"/>
        <v>3.2941176470588234</v>
      </c>
      <c r="O60" s="594">
        <f t="shared" si="16"/>
        <v>2.9473684210526314</v>
      </c>
      <c r="P60" s="594">
        <f t="shared" ref="P60:AA60" si="17">P58/P59</f>
        <v>3.4444444444444446</v>
      </c>
      <c r="Q60" s="594">
        <f t="shared" si="17"/>
        <v>3.05</v>
      </c>
      <c r="R60" s="594">
        <f t="shared" si="17"/>
        <v>4.5263157894736841</v>
      </c>
      <c r="S60" s="594">
        <f t="shared" si="17"/>
        <v>5.4117647058823533</v>
      </c>
      <c r="T60" s="594">
        <f t="shared" si="17"/>
        <v>5.2105263157894735</v>
      </c>
      <c r="U60" s="594">
        <f t="shared" si="17"/>
        <v>5.7222222222222223</v>
      </c>
      <c r="V60" s="594">
        <f t="shared" si="17"/>
        <v>6.0555555555555554</v>
      </c>
      <c r="W60" s="594">
        <f t="shared" si="17"/>
        <v>6.0555555555555554</v>
      </c>
      <c r="X60" s="594">
        <f>X58/X59</f>
        <v>5.4210526315789478</v>
      </c>
      <c r="Y60" s="594">
        <f t="shared" si="17"/>
        <v>6.25</v>
      </c>
      <c r="Z60" s="594">
        <f t="shared" si="17"/>
        <v>6.1111111111111107</v>
      </c>
      <c r="AA60" s="594">
        <f t="shared" si="17"/>
        <v>6.3888888888888893</v>
      </c>
      <c r="AB60" s="595"/>
      <c r="AC60" s="422"/>
      <c r="AD60" s="422"/>
      <c r="AE60" s="596"/>
      <c r="AF60" s="596"/>
      <c r="AG60" s="596"/>
      <c r="AH60" s="596"/>
      <c r="AI60" s="422"/>
      <c r="AJ60" s="590"/>
      <c r="AK60" s="422"/>
      <c r="AL60" s="422"/>
      <c r="AM60" s="400"/>
      <c r="AN60" s="400"/>
      <c r="AO60" s="400"/>
      <c r="AP60" s="400"/>
    </row>
    <row r="61" spans="2:42" x14ac:dyDescent="0.2">
      <c r="AA61" s="597"/>
      <c r="AB61" s="422"/>
      <c r="AC61" s="422"/>
      <c r="AD61" s="422"/>
      <c r="AE61" s="422"/>
      <c r="AF61" s="422"/>
      <c r="AG61" s="422"/>
      <c r="AH61" s="422"/>
      <c r="AI61" s="422"/>
      <c r="AJ61" s="590"/>
      <c r="AK61" s="422"/>
      <c r="AL61" s="422"/>
      <c r="AM61" s="400"/>
      <c r="AN61" s="400"/>
      <c r="AO61" s="400"/>
    </row>
    <row r="62" spans="2:42" x14ac:dyDescent="0.2">
      <c r="D62" s="598" t="s">
        <v>123</v>
      </c>
      <c r="E62" s="565"/>
      <c r="F62" s="565"/>
      <c r="G62" s="565"/>
      <c r="H62" s="565"/>
      <c r="I62" s="565"/>
      <c r="J62" s="565"/>
      <c r="K62" s="565"/>
      <c r="L62" s="565"/>
      <c r="M62" s="565"/>
      <c r="N62" s="565"/>
      <c r="O62" s="565"/>
      <c r="P62" s="565"/>
      <c r="Q62" s="565"/>
      <c r="R62" s="565"/>
      <c r="S62" s="565"/>
      <c r="Z62" s="170"/>
      <c r="AA62" s="170"/>
      <c r="AB62" s="585"/>
      <c r="AC62" s="585"/>
      <c r="AD62" s="585"/>
      <c r="AE62" s="585"/>
      <c r="AF62" s="585"/>
      <c r="AG62" s="585"/>
      <c r="AH62" s="585"/>
      <c r="AI62" s="585"/>
      <c r="AJ62" s="595"/>
      <c r="AK62" s="585"/>
      <c r="AL62" s="585"/>
      <c r="AM62" s="599"/>
      <c r="AN62" s="599"/>
      <c r="AO62" s="589"/>
    </row>
    <row r="63" spans="2:42" hidden="1" x14ac:dyDescent="0.2">
      <c r="D63" s="600"/>
      <c r="E63" s="600"/>
      <c r="F63" s="600"/>
      <c r="G63" s="600"/>
      <c r="H63" s="600"/>
      <c r="I63" s="600"/>
      <c r="J63" s="600"/>
      <c r="K63" s="600"/>
      <c r="L63" s="600"/>
      <c r="M63" s="600"/>
      <c r="N63" s="600"/>
      <c r="O63" s="600"/>
      <c r="P63" s="600"/>
      <c r="Q63" s="600"/>
      <c r="R63" s="600"/>
      <c r="S63" s="600"/>
      <c r="T63" s="601"/>
      <c r="U63" s="601"/>
    </row>
    <row r="64" spans="2:42" ht="14.25" hidden="1" x14ac:dyDescent="0.2">
      <c r="C64" s="446">
        <v>1</v>
      </c>
      <c r="D64" s="600" t="s">
        <v>278</v>
      </c>
      <c r="E64" s="600"/>
      <c r="F64" s="600"/>
      <c r="G64" s="600"/>
      <c r="H64" s="600"/>
      <c r="I64" s="600"/>
      <c r="J64" s="600"/>
      <c r="K64" s="600"/>
      <c r="L64" s="600"/>
      <c r="M64" s="600"/>
      <c r="N64" s="600"/>
      <c r="O64" s="600"/>
      <c r="P64" s="600"/>
      <c r="Q64" s="600"/>
      <c r="R64" s="600"/>
      <c r="S64" s="600"/>
      <c r="T64" s="601"/>
      <c r="U64" s="601"/>
    </row>
    <row r="65" spans="3:21" ht="3.75" customHeight="1" x14ac:dyDescent="0.2">
      <c r="C65" s="446"/>
      <c r="D65" s="600"/>
      <c r="E65" s="600"/>
      <c r="F65" s="600"/>
      <c r="G65" s="600"/>
      <c r="H65" s="600"/>
      <c r="I65" s="600"/>
      <c r="J65" s="600"/>
      <c r="K65" s="600"/>
      <c r="L65" s="600"/>
      <c r="M65" s="600"/>
      <c r="N65" s="600"/>
      <c r="O65" s="600"/>
      <c r="P65" s="600"/>
      <c r="Q65" s="600"/>
      <c r="R65" s="600"/>
      <c r="S65" s="600"/>
      <c r="T65" s="601"/>
      <c r="U65" s="601"/>
    </row>
    <row r="66" spans="3:21" ht="42" customHeight="1" x14ac:dyDescent="0.2">
      <c r="C66" s="602">
        <v>1</v>
      </c>
      <c r="D66" s="750" t="s">
        <v>346</v>
      </c>
      <c r="E66" s="750"/>
      <c r="F66" s="750"/>
      <c r="G66" s="750"/>
      <c r="H66" s="750"/>
      <c r="I66" s="750"/>
      <c r="J66" s="750"/>
      <c r="K66" s="750"/>
      <c r="L66" s="750"/>
      <c r="M66" s="750"/>
      <c r="N66" s="750"/>
      <c r="O66" s="750"/>
      <c r="P66" s="750"/>
      <c r="Q66" s="750"/>
      <c r="R66" s="750"/>
      <c r="S66" s="750"/>
      <c r="T66" s="750"/>
      <c r="U66" s="750"/>
    </row>
    <row r="67" spans="3:21" x14ac:dyDescent="0.2">
      <c r="D67" s="565"/>
      <c r="E67" s="565"/>
      <c r="F67" s="565"/>
      <c r="G67" s="565"/>
      <c r="H67" s="565"/>
      <c r="I67" s="565"/>
      <c r="J67" s="565"/>
      <c r="K67" s="565"/>
      <c r="L67" s="565"/>
      <c r="M67" s="565"/>
      <c r="N67" s="565"/>
      <c r="O67" s="565"/>
      <c r="P67" s="565"/>
      <c r="Q67" s="565"/>
      <c r="R67" s="565"/>
      <c r="S67" s="565"/>
    </row>
    <row r="68" spans="3:21" x14ac:dyDescent="0.2">
      <c r="D68" s="603" t="s">
        <v>345</v>
      </c>
      <c r="E68" s="565"/>
      <c r="F68" s="565"/>
      <c r="G68" s="565"/>
      <c r="H68" s="565"/>
      <c r="I68" s="565"/>
      <c r="J68" s="565"/>
      <c r="K68" s="565"/>
      <c r="L68" s="565"/>
      <c r="M68" s="565"/>
      <c r="N68" s="565"/>
      <c r="O68" s="565"/>
      <c r="P68" s="565"/>
      <c r="Q68" s="565"/>
      <c r="R68" s="565"/>
      <c r="S68" s="565"/>
    </row>
    <row r="69" spans="3:21" x14ac:dyDescent="0.2">
      <c r="D69" s="448"/>
    </row>
    <row r="70" spans="3:21" ht="9" customHeight="1" x14ac:dyDescent="0.2"/>
    <row r="71" spans="3:21" x14ac:dyDescent="0.2">
      <c r="C71" s="523">
        <v>31</v>
      </c>
      <c r="D71" s="523"/>
      <c r="E71" s="523"/>
      <c r="F71" s="523"/>
      <c r="G71" s="523"/>
      <c r="H71" s="523"/>
      <c r="I71" s="523"/>
      <c r="J71" s="523"/>
      <c r="K71" s="523"/>
      <c r="L71" s="523"/>
      <c r="M71" s="523"/>
      <c r="N71" s="523"/>
      <c r="O71" s="523"/>
      <c r="P71" s="523"/>
      <c r="Q71" s="523"/>
      <c r="R71" s="523"/>
      <c r="S71" s="523"/>
      <c r="T71" s="523"/>
      <c r="U71" s="523"/>
    </row>
  </sheetData>
  <mergeCells count="6">
    <mergeCell ref="F4:W4"/>
    <mergeCell ref="B6:T6"/>
    <mergeCell ref="D9:T9"/>
    <mergeCell ref="D37:Q37"/>
    <mergeCell ref="D66:U66"/>
    <mergeCell ref="T11:AA11"/>
  </mergeCells>
  <phoneticPr fontId="0" type="noConversion"/>
  <printOptions horizontalCentered="1"/>
  <pageMargins left="1" right="1" top="1" bottom="1" header="0.5" footer="0.43"/>
  <pageSetup scale="53" orientation="portrait" r:id="rId1"/>
  <headerFooter alignWithMargins="0"/>
  <ignoredErrors>
    <ignoredError sqref="W42" formula="1"/>
  </ignoredErrors>
  <drawing r:id="rId2"/>
  <legacyDrawing r:id="rId3"/>
  <oleObjects>
    <mc:AlternateContent xmlns:mc="http://schemas.openxmlformats.org/markup-compatibility/2006">
      <mc:Choice Requires="x14">
        <oleObject progId="MSPhotoEd.3" shapeId="3073" r:id="rId4">
          <objectPr defaultSize="0" autoPict="0" r:id="rId5">
            <anchor moveWithCells="1" sizeWithCells="1">
              <from>
                <xdr:col>0</xdr:col>
                <xdr:colOff>390525</xdr:colOff>
                <xdr:row>2</xdr:row>
                <xdr:rowOff>104775</xdr:rowOff>
              </from>
              <to>
                <xdr:col>3</xdr:col>
                <xdr:colOff>38100</xdr:colOff>
                <xdr:row>4</xdr:row>
                <xdr:rowOff>57150</xdr:rowOff>
              </to>
            </anchor>
          </objectPr>
        </oleObject>
      </mc:Choice>
      <mc:Fallback>
        <oleObject progId="MSPhotoEd.3" shapeId="3073" r:id="rId4"/>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9" tint="0.59999389629810485"/>
    <pageSetUpPr fitToPage="1"/>
  </sheetPr>
  <dimension ref="B4:AD66"/>
  <sheetViews>
    <sheetView zoomScaleNormal="100" zoomScaleSheetLayoutView="85" workbookViewId="0">
      <selection activeCell="S7" sqref="S7"/>
    </sheetView>
  </sheetViews>
  <sheetFormatPr defaultColWidth="9.140625" defaultRowHeight="12.75" x14ac:dyDescent="0.2"/>
  <cols>
    <col min="1" max="1" width="2.7109375" style="299" customWidth="1"/>
    <col min="2" max="2" width="7.140625" style="299" customWidth="1"/>
    <col min="3" max="3" width="2" style="299" customWidth="1"/>
    <col min="4" max="4" width="30" style="299" customWidth="1"/>
    <col min="5" max="5" width="12" style="299" customWidth="1"/>
    <col min="6" max="6" width="11.5703125" style="299" customWidth="1"/>
    <col min="7" max="7" width="11.42578125" style="299" hidden="1" customWidth="1"/>
    <col min="8" max="8" width="11" style="299" hidden="1" customWidth="1"/>
    <col min="9" max="9" width="11.140625" style="299" hidden="1" customWidth="1"/>
    <col min="10" max="10" width="11.5703125" style="299" customWidth="1"/>
    <col min="11" max="12" width="10.7109375" style="299" customWidth="1"/>
    <col min="13" max="13" width="9.140625" style="299"/>
    <col min="14" max="14" width="8.7109375" style="299" customWidth="1"/>
    <col min="15" max="16384" width="9.140625" style="299"/>
  </cols>
  <sheetData>
    <row r="4" spans="2:30" ht="15" x14ac:dyDescent="0.25">
      <c r="I4" s="605" t="s">
        <v>355</v>
      </c>
      <c r="J4" s="605"/>
      <c r="M4" s="604" t="s">
        <v>374</v>
      </c>
      <c r="N4" s="604"/>
      <c r="O4" s="604"/>
      <c r="P4" s="604"/>
      <c r="Q4" s="604"/>
      <c r="R4" s="604"/>
      <c r="S4" s="604"/>
      <c r="T4" s="604"/>
      <c r="U4" s="604"/>
      <c r="V4" s="604"/>
      <c r="W4" s="604"/>
      <c r="X4" s="604"/>
      <c r="Y4" s="604"/>
      <c r="Z4" s="604"/>
      <c r="AA4" s="604"/>
      <c r="AB4" s="604"/>
      <c r="AC4" s="604"/>
      <c r="AD4" s="604"/>
    </row>
    <row r="7" spans="2:30" ht="15.75" x14ac:dyDescent="0.25">
      <c r="B7" s="406">
        <v>3.04</v>
      </c>
      <c r="C7" s="736" t="s">
        <v>371</v>
      </c>
      <c r="D7" s="736"/>
      <c r="E7" s="736"/>
      <c r="F7" s="736"/>
      <c r="G7" s="736"/>
      <c r="H7" s="736"/>
      <c r="I7" s="736"/>
      <c r="J7" s="736"/>
      <c r="K7" s="736"/>
      <c r="L7" s="736"/>
      <c r="M7" s="736"/>
      <c r="N7" s="736"/>
      <c r="O7" s="736"/>
    </row>
    <row r="8" spans="2:30" ht="12.75" customHeight="1" x14ac:dyDescent="0.25">
      <c r="B8" s="406"/>
      <c r="C8" s="404"/>
      <c r="D8" s="404"/>
      <c r="E8" s="404"/>
      <c r="F8" s="404"/>
      <c r="G8" s="404"/>
      <c r="H8" s="404"/>
      <c r="I8" s="404"/>
      <c r="J8" s="404"/>
    </row>
    <row r="9" spans="2:30" x14ac:dyDescent="0.2">
      <c r="H9" s="440"/>
      <c r="I9" s="440"/>
      <c r="J9" s="413"/>
      <c r="K9" s="413"/>
      <c r="L9" s="413"/>
    </row>
    <row r="10" spans="2:30" hidden="1" x14ac:dyDescent="0.2">
      <c r="K10" s="413"/>
      <c r="L10" s="413"/>
    </row>
    <row r="11" spans="2:30" x14ac:dyDescent="0.2">
      <c r="C11" s="606"/>
      <c r="D11" s="606"/>
      <c r="E11" s="607"/>
      <c r="F11" s="607"/>
      <c r="G11" s="607">
        <v>2009</v>
      </c>
      <c r="H11" s="607">
        <v>2010</v>
      </c>
      <c r="I11" s="607">
        <v>2011</v>
      </c>
      <c r="J11" s="607">
        <v>2012</v>
      </c>
      <c r="K11" s="607">
        <v>2013</v>
      </c>
      <c r="L11" s="607">
        <v>2014</v>
      </c>
      <c r="M11" s="607">
        <v>2015</v>
      </c>
      <c r="N11" s="607">
        <v>2016</v>
      </c>
      <c r="O11" s="607">
        <v>2017</v>
      </c>
      <c r="P11" s="607">
        <v>2018</v>
      </c>
      <c r="Q11" s="607">
        <v>2019</v>
      </c>
    </row>
    <row r="12" spans="2:30" x14ac:dyDescent="0.2">
      <c r="K12" s="413"/>
      <c r="L12" s="413"/>
      <c r="M12" s="413"/>
    </row>
    <row r="13" spans="2:30" x14ac:dyDescent="0.2">
      <c r="C13" s="608" t="s">
        <v>214</v>
      </c>
      <c r="K13" s="413"/>
      <c r="L13" s="413"/>
      <c r="M13" s="413"/>
    </row>
    <row r="14" spans="2:30" ht="10.5" customHeight="1" x14ac:dyDescent="0.2">
      <c r="C14" s="609"/>
      <c r="D14" s="608"/>
      <c r="G14" s="610"/>
      <c r="H14" s="610"/>
      <c r="I14" s="610"/>
      <c r="J14" s="610"/>
      <c r="K14" s="413"/>
      <c r="L14" s="413"/>
      <c r="M14" s="413"/>
      <c r="N14" s="413"/>
      <c r="O14" s="413"/>
      <c r="P14" s="413"/>
    </row>
    <row r="15" spans="2:30" ht="14.25" x14ac:dyDescent="0.2">
      <c r="C15" s="482"/>
      <c r="D15" s="611" t="s">
        <v>268</v>
      </c>
      <c r="G15" s="409">
        <v>365</v>
      </c>
      <c r="H15" s="409">
        <v>362</v>
      </c>
      <c r="I15" s="409">
        <v>342</v>
      </c>
      <c r="J15" s="409">
        <v>335</v>
      </c>
      <c r="K15" s="408">
        <v>384</v>
      </c>
      <c r="L15" s="408">
        <v>381</v>
      </c>
      <c r="M15" s="408">
        <v>391</v>
      </c>
      <c r="N15" s="408">
        <v>389</v>
      </c>
      <c r="O15" s="408">
        <v>402</v>
      </c>
      <c r="P15" s="408">
        <v>403</v>
      </c>
      <c r="Q15" s="408">
        <v>397</v>
      </c>
    </row>
    <row r="16" spans="2:30" x14ac:dyDescent="0.2">
      <c r="D16" s="611" t="s">
        <v>319</v>
      </c>
      <c r="G16" s="612">
        <v>7.1863013698630134</v>
      </c>
      <c r="H16" s="612">
        <v>7.2922651933701665</v>
      </c>
      <c r="I16" s="612">
        <v>7.481286549707602</v>
      </c>
      <c r="J16" s="612">
        <v>8.8000000000000007</v>
      </c>
      <c r="K16" s="408">
        <v>10.6</v>
      </c>
      <c r="L16" s="408">
        <v>9.8000000000000007</v>
      </c>
      <c r="M16" s="408">
        <v>9.5</v>
      </c>
      <c r="N16" s="408">
        <v>9.6</v>
      </c>
      <c r="O16" s="408">
        <v>9.6</v>
      </c>
      <c r="P16" s="408">
        <v>9.1999999999999993</v>
      </c>
      <c r="Q16" s="408">
        <v>9.3000000000000007</v>
      </c>
    </row>
    <row r="17" spans="3:17" x14ac:dyDescent="0.2">
      <c r="C17" s="482" t="s">
        <v>215</v>
      </c>
      <c r="D17" s="613"/>
      <c r="G17" s="612"/>
      <c r="H17" s="612"/>
      <c r="I17" s="612"/>
      <c r="J17" s="612"/>
      <c r="K17" s="408"/>
      <c r="L17" s="408"/>
      <c r="M17" s="408"/>
      <c r="N17" s="408"/>
      <c r="O17" s="408"/>
      <c r="P17" s="408"/>
    </row>
    <row r="18" spans="3:17" x14ac:dyDescent="0.2">
      <c r="D18" s="611" t="s">
        <v>216</v>
      </c>
      <c r="G18" s="612">
        <v>20</v>
      </c>
      <c r="H18" s="612">
        <v>22.928176795580111</v>
      </c>
      <c r="I18" s="612">
        <v>22.222222222222221</v>
      </c>
      <c r="J18" s="612">
        <v>28.1</v>
      </c>
      <c r="K18" s="614">
        <v>44</v>
      </c>
      <c r="L18" s="614">
        <v>47.5</v>
      </c>
      <c r="M18" s="614">
        <v>46</v>
      </c>
      <c r="N18" s="614">
        <v>47.8</v>
      </c>
      <c r="O18" s="614">
        <v>52</v>
      </c>
      <c r="P18" s="614">
        <v>49.1</v>
      </c>
      <c r="Q18" s="614">
        <v>47.6</v>
      </c>
    </row>
    <row r="19" spans="3:17" x14ac:dyDescent="0.2">
      <c r="D19" s="611" t="s">
        <v>217</v>
      </c>
      <c r="G19" s="612">
        <v>38.082191780821915</v>
      </c>
      <c r="H19" s="612">
        <v>39.226519337016576</v>
      </c>
      <c r="I19" s="612">
        <v>45.321637426900587</v>
      </c>
      <c r="J19" s="612">
        <v>49.3</v>
      </c>
      <c r="K19" s="614">
        <v>69.5</v>
      </c>
      <c r="L19" s="614">
        <v>66.099999999999994</v>
      </c>
      <c r="M19" s="614">
        <v>67.3</v>
      </c>
      <c r="N19" s="614">
        <v>68.099999999999994</v>
      </c>
      <c r="O19" s="614">
        <v>71.400000000000006</v>
      </c>
      <c r="P19" s="614">
        <v>71.7</v>
      </c>
      <c r="Q19" s="614">
        <v>67.8</v>
      </c>
    </row>
    <row r="20" spans="3:17" x14ac:dyDescent="0.2">
      <c r="D20" s="611" t="s">
        <v>228</v>
      </c>
      <c r="G20" s="612">
        <v>26.301369863013701</v>
      </c>
      <c r="H20" s="612">
        <v>27.900552486187845</v>
      </c>
      <c r="I20" s="612">
        <v>24.561403508771932</v>
      </c>
      <c r="J20" s="612">
        <v>23.9</v>
      </c>
      <c r="K20" s="614">
        <v>35.9</v>
      </c>
      <c r="L20" s="614">
        <v>47.5</v>
      </c>
      <c r="M20" s="614">
        <v>48.3</v>
      </c>
      <c r="N20" s="614">
        <v>46.8</v>
      </c>
      <c r="O20" s="614">
        <v>50.7</v>
      </c>
      <c r="P20" s="614">
        <v>54.3</v>
      </c>
      <c r="Q20" s="614">
        <v>47.4</v>
      </c>
    </row>
    <row r="21" spans="3:17" ht="15" customHeight="1" x14ac:dyDescent="0.2">
      <c r="D21" s="611" t="s">
        <v>218</v>
      </c>
      <c r="G21" s="612">
        <v>61.643835616438359</v>
      </c>
      <c r="H21" s="612">
        <v>85.635359116022101</v>
      </c>
      <c r="I21" s="612">
        <v>86.84210526315789</v>
      </c>
      <c r="J21" s="612">
        <v>91.9</v>
      </c>
      <c r="K21" s="614">
        <v>94.5</v>
      </c>
      <c r="L21" s="614">
        <v>93.4</v>
      </c>
      <c r="M21" s="614">
        <v>91</v>
      </c>
      <c r="N21" s="614">
        <v>96.7</v>
      </c>
      <c r="O21" s="614">
        <v>94.5</v>
      </c>
      <c r="P21" s="614">
        <v>96</v>
      </c>
      <c r="Q21" s="614">
        <v>90.9</v>
      </c>
    </row>
    <row r="22" spans="3:17" x14ac:dyDescent="0.2">
      <c r="C22" s="482"/>
      <c r="D22" s="615" t="s">
        <v>219</v>
      </c>
      <c r="G22" s="612">
        <v>98.082191780821915</v>
      </c>
      <c r="H22" s="612">
        <v>98.895027624309392</v>
      </c>
      <c r="I22" s="612">
        <v>100</v>
      </c>
      <c r="J22" s="612">
        <v>99.7</v>
      </c>
      <c r="K22" s="614">
        <v>98.7</v>
      </c>
      <c r="L22" s="614">
        <v>99.2</v>
      </c>
      <c r="M22" s="614">
        <v>98.2</v>
      </c>
      <c r="N22" s="614">
        <v>99.6</v>
      </c>
      <c r="O22" s="614">
        <v>98.5</v>
      </c>
      <c r="P22" s="614">
        <v>99</v>
      </c>
      <c r="Q22" s="614">
        <v>98</v>
      </c>
    </row>
    <row r="23" spans="3:17" x14ac:dyDescent="0.2">
      <c r="C23" s="482"/>
      <c r="D23" s="615" t="s">
        <v>220</v>
      </c>
      <c r="G23" s="612">
        <v>53.698630136986303</v>
      </c>
      <c r="H23" s="612">
        <v>60.773480662983424</v>
      </c>
      <c r="I23" s="612">
        <v>59.064327485380119</v>
      </c>
      <c r="J23" s="612">
        <v>53.7</v>
      </c>
      <c r="K23" s="614">
        <v>68</v>
      </c>
      <c r="L23" s="614">
        <v>70.3</v>
      </c>
      <c r="M23" s="614">
        <v>68.5</v>
      </c>
      <c r="N23" s="614">
        <v>70.400000000000006</v>
      </c>
      <c r="O23" s="614">
        <v>73.400000000000006</v>
      </c>
      <c r="P23" s="614">
        <v>78.2</v>
      </c>
      <c r="Q23" s="614">
        <v>73.8</v>
      </c>
    </row>
    <row r="24" spans="3:17" x14ac:dyDescent="0.2">
      <c r="D24" s="615" t="s">
        <v>221</v>
      </c>
      <c r="G24" s="612">
        <v>30.958904109589042</v>
      </c>
      <c r="H24" s="612">
        <v>30.662983425414364</v>
      </c>
      <c r="I24" s="612">
        <v>27.485380116959064</v>
      </c>
      <c r="J24" s="612">
        <v>26</v>
      </c>
      <c r="K24" s="614">
        <v>37.5</v>
      </c>
      <c r="L24" s="614">
        <v>49.6</v>
      </c>
      <c r="M24" s="614">
        <v>52.4</v>
      </c>
      <c r="N24" s="614">
        <v>50.4</v>
      </c>
      <c r="O24" s="614">
        <v>52.7</v>
      </c>
      <c r="P24" s="614">
        <v>56.6</v>
      </c>
      <c r="Q24" s="614">
        <v>49.4</v>
      </c>
    </row>
    <row r="25" spans="3:17" x14ac:dyDescent="0.2">
      <c r="G25" s="409"/>
      <c r="H25" s="409"/>
      <c r="I25" s="409"/>
      <c r="J25" s="409"/>
      <c r="K25" s="408"/>
      <c r="L25" s="408"/>
      <c r="M25" s="616"/>
      <c r="N25" s="616"/>
      <c r="O25" s="616"/>
      <c r="P25" s="616"/>
    </row>
    <row r="26" spans="3:17" x14ac:dyDescent="0.2">
      <c r="G26" s="409"/>
      <c r="H26" s="409"/>
      <c r="I26" s="409"/>
      <c r="J26" s="409"/>
      <c r="K26" s="616"/>
      <c r="L26" s="616"/>
      <c r="M26" s="616"/>
      <c r="N26" s="616"/>
      <c r="O26" s="616"/>
      <c r="P26" s="616"/>
      <c r="Q26" s="616"/>
    </row>
    <row r="27" spans="3:17" x14ac:dyDescent="0.2">
      <c r="C27" s="608" t="s">
        <v>239</v>
      </c>
      <c r="G27" s="610"/>
      <c r="H27" s="610"/>
      <c r="I27" s="610"/>
      <c r="J27" s="610"/>
      <c r="K27" s="408"/>
      <c r="L27" s="408"/>
      <c r="M27" s="616"/>
      <c r="N27" s="616"/>
      <c r="O27" s="616"/>
      <c r="P27" s="616"/>
      <c r="Q27" s="616"/>
    </row>
    <row r="28" spans="3:17" x14ac:dyDescent="0.2">
      <c r="D28" s="608"/>
      <c r="G28" s="610"/>
      <c r="H28" s="610"/>
      <c r="I28" s="610"/>
      <c r="J28" s="610"/>
      <c r="K28" s="408"/>
      <c r="L28" s="408"/>
      <c r="M28" s="616"/>
      <c r="N28" s="616"/>
      <c r="O28" s="616"/>
      <c r="P28" s="616"/>
    </row>
    <row r="29" spans="3:17" ht="15" customHeight="1" x14ac:dyDescent="0.2">
      <c r="D29" s="611" t="s">
        <v>268</v>
      </c>
      <c r="G29" s="409">
        <v>326</v>
      </c>
      <c r="H29" s="409">
        <v>336</v>
      </c>
      <c r="I29" s="409">
        <v>310</v>
      </c>
      <c r="J29" s="409">
        <v>308</v>
      </c>
      <c r="K29" s="408">
        <v>363</v>
      </c>
      <c r="L29" s="408">
        <v>355</v>
      </c>
      <c r="M29" s="408">
        <v>368</v>
      </c>
      <c r="N29" s="408">
        <v>365</v>
      </c>
      <c r="O29" s="408">
        <v>377</v>
      </c>
      <c r="P29" s="408">
        <v>385</v>
      </c>
      <c r="Q29" s="408">
        <v>376</v>
      </c>
    </row>
    <row r="30" spans="3:17" x14ac:dyDescent="0.2">
      <c r="C30" s="482"/>
      <c r="D30" s="611" t="s">
        <v>358</v>
      </c>
      <c r="G30" s="612">
        <v>7.4</v>
      </c>
      <c r="H30" s="612">
        <v>7.4</v>
      </c>
      <c r="I30" s="612">
        <v>7.5</v>
      </c>
      <c r="J30" s="612">
        <v>8.9</v>
      </c>
      <c r="K30" s="408">
        <v>10.8</v>
      </c>
      <c r="L30" s="408">
        <v>9.9</v>
      </c>
      <c r="M30" s="614">
        <v>9.6</v>
      </c>
      <c r="N30" s="614">
        <v>9.6999999999999993</v>
      </c>
      <c r="O30" s="614">
        <v>9.6999999999999993</v>
      </c>
      <c r="P30" s="614">
        <v>9.1999999999999993</v>
      </c>
      <c r="Q30" s="614">
        <v>9.3000000000000007</v>
      </c>
    </row>
    <row r="31" spans="3:17" x14ac:dyDescent="0.2">
      <c r="C31" s="482" t="s">
        <v>215</v>
      </c>
      <c r="D31" s="613"/>
      <c r="G31" s="612"/>
      <c r="H31" s="612"/>
      <c r="I31" s="612"/>
      <c r="J31" s="612"/>
      <c r="K31" s="408"/>
      <c r="L31" s="408"/>
      <c r="M31" s="408"/>
      <c r="N31" s="408"/>
      <c r="O31" s="408"/>
      <c r="P31" s="408"/>
    </row>
    <row r="32" spans="3:17" x14ac:dyDescent="0.2">
      <c r="D32" s="611" t="s">
        <v>216</v>
      </c>
      <c r="G32" s="612">
        <v>18.098159509202453</v>
      </c>
      <c r="H32" s="612">
        <v>21.726190476190478</v>
      </c>
      <c r="I32" s="612">
        <v>20</v>
      </c>
      <c r="J32" s="612">
        <v>26.3</v>
      </c>
      <c r="K32" s="408">
        <v>44.6</v>
      </c>
      <c r="L32" s="408">
        <v>45.9</v>
      </c>
      <c r="M32" s="408">
        <v>45.1</v>
      </c>
      <c r="N32" s="614">
        <v>46</v>
      </c>
      <c r="O32" s="614">
        <v>52.3</v>
      </c>
      <c r="P32" s="614">
        <v>47.5</v>
      </c>
      <c r="Q32" s="614">
        <v>46.5</v>
      </c>
    </row>
    <row r="33" spans="3:17" x14ac:dyDescent="0.2">
      <c r="D33" s="611" t="s">
        <v>217</v>
      </c>
      <c r="G33" s="612">
        <v>35.889570552147241</v>
      </c>
      <c r="H33" s="612">
        <v>37.202380952380956</v>
      </c>
      <c r="I33" s="612">
        <v>43.225806451612904</v>
      </c>
      <c r="J33" s="612">
        <v>47.4</v>
      </c>
      <c r="K33" s="408">
        <v>69.7</v>
      </c>
      <c r="L33" s="408">
        <v>64.8</v>
      </c>
      <c r="M33" s="614">
        <v>66</v>
      </c>
      <c r="N33" s="614">
        <v>66.8</v>
      </c>
      <c r="O33" s="614">
        <v>71.400000000000006</v>
      </c>
      <c r="P33" s="614">
        <v>71.2</v>
      </c>
      <c r="Q33" s="614">
        <v>66.2</v>
      </c>
    </row>
    <row r="34" spans="3:17" x14ac:dyDescent="0.2">
      <c r="D34" s="611" t="s">
        <v>228</v>
      </c>
      <c r="G34" s="612">
        <v>24.233128834355831</v>
      </c>
      <c r="H34" s="612">
        <v>26.488095238095241</v>
      </c>
      <c r="I34" s="612">
        <v>21.93548387096774</v>
      </c>
      <c r="J34" s="612">
        <v>22.7</v>
      </c>
      <c r="K34" s="408">
        <v>35.5</v>
      </c>
      <c r="L34" s="408">
        <v>44.8</v>
      </c>
      <c r="M34" s="408">
        <v>46.5</v>
      </c>
      <c r="N34" s="408">
        <v>44.9</v>
      </c>
      <c r="O34" s="408">
        <v>50.1</v>
      </c>
      <c r="P34" s="614">
        <v>52.987012987012989</v>
      </c>
      <c r="Q34" s="614">
        <v>46</v>
      </c>
    </row>
    <row r="35" spans="3:17" x14ac:dyDescent="0.2">
      <c r="D35" s="611" t="s">
        <v>218</v>
      </c>
      <c r="G35" s="612">
        <v>61.963190184049083</v>
      </c>
      <c r="H35" s="612">
        <v>86.904761904761912</v>
      </c>
      <c r="I35" s="612">
        <v>87.741935483870961</v>
      </c>
      <c r="J35" s="612">
        <v>92.2</v>
      </c>
      <c r="K35" s="408">
        <v>95.3</v>
      </c>
      <c r="L35" s="408">
        <v>93.2</v>
      </c>
      <c r="M35" s="408">
        <v>90.8</v>
      </c>
      <c r="N35" s="408">
        <v>96.4</v>
      </c>
      <c r="O35" s="614">
        <v>95</v>
      </c>
      <c r="P35" s="614">
        <v>95.844155844155836</v>
      </c>
      <c r="Q35" s="614">
        <v>90.4</v>
      </c>
    </row>
    <row r="36" spans="3:17" ht="15" customHeight="1" x14ac:dyDescent="0.2">
      <c r="D36" s="615" t="s">
        <v>219</v>
      </c>
      <c r="G36" s="612">
        <v>98.773006134969336</v>
      </c>
      <c r="H36" s="612">
        <v>99.702380952380949</v>
      </c>
      <c r="I36" s="612">
        <v>100</v>
      </c>
      <c r="J36" s="612">
        <v>99.7</v>
      </c>
      <c r="K36" s="408">
        <v>98.6</v>
      </c>
      <c r="L36" s="408">
        <v>99.2</v>
      </c>
      <c r="M36" s="408">
        <v>98.1</v>
      </c>
      <c r="N36" s="408">
        <v>99.2</v>
      </c>
      <c r="O36" s="408">
        <v>99.2</v>
      </c>
      <c r="P36" s="614">
        <v>99</v>
      </c>
      <c r="Q36" s="614">
        <v>97.9</v>
      </c>
    </row>
    <row r="37" spans="3:17" x14ac:dyDescent="0.2">
      <c r="C37" s="482"/>
      <c r="D37" s="615" t="s">
        <v>220</v>
      </c>
      <c r="G37" s="612">
        <v>51.533742331288344</v>
      </c>
      <c r="H37" s="612">
        <v>59.226190476190482</v>
      </c>
      <c r="I37" s="612">
        <v>57.741935483870968</v>
      </c>
      <c r="J37" s="612">
        <v>52.6</v>
      </c>
      <c r="K37" s="408">
        <v>67.8</v>
      </c>
      <c r="L37" s="408">
        <v>68.7</v>
      </c>
      <c r="M37" s="408">
        <v>67.7</v>
      </c>
      <c r="N37" s="408">
        <v>69.599999999999994</v>
      </c>
      <c r="O37" s="408">
        <v>73.7</v>
      </c>
      <c r="P37" s="614">
        <v>77.402597402597394</v>
      </c>
      <c r="Q37" s="614">
        <v>72.599999999999994</v>
      </c>
    </row>
    <row r="38" spans="3:17" x14ac:dyDescent="0.2">
      <c r="D38" s="615" t="s">
        <v>221</v>
      </c>
      <c r="G38" s="612">
        <v>29.141104294478531</v>
      </c>
      <c r="H38" s="612">
        <v>28.86904761904762</v>
      </c>
      <c r="I38" s="612">
        <v>24.838709677419356</v>
      </c>
      <c r="J38" s="612">
        <v>24.7</v>
      </c>
      <c r="K38" s="408">
        <v>36.9</v>
      </c>
      <c r="L38" s="408">
        <v>47</v>
      </c>
      <c r="M38" s="408">
        <v>50.5</v>
      </c>
      <c r="N38" s="408">
        <v>48.8</v>
      </c>
      <c r="O38" s="408">
        <v>52.3</v>
      </c>
      <c r="P38" s="614">
        <v>55.324675324675326</v>
      </c>
      <c r="Q38" s="614">
        <v>48.1</v>
      </c>
    </row>
    <row r="39" spans="3:17" x14ac:dyDescent="0.2">
      <c r="C39" s="482"/>
      <c r="G39" s="409"/>
      <c r="H39" s="409"/>
      <c r="I39" s="409"/>
      <c r="J39" s="409"/>
      <c r="K39" s="408"/>
      <c r="L39" s="408"/>
      <c r="M39" s="408"/>
      <c r="N39" s="408"/>
      <c r="O39" s="408"/>
      <c r="P39" s="408"/>
      <c r="Q39" s="408"/>
    </row>
    <row r="40" spans="3:17" x14ac:dyDescent="0.2">
      <c r="D40" s="608"/>
      <c r="G40" s="610"/>
      <c r="H40" s="610"/>
      <c r="I40" s="610"/>
      <c r="J40" s="610"/>
      <c r="K40" s="408"/>
      <c r="L40" s="408"/>
      <c r="M40" s="408"/>
      <c r="N40" s="408"/>
      <c r="O40" s="408"/>
      <c r="P40" s="408"/>
      <c r="Q40" s="408"/>
    </row>
    <row r="41" spans="3:17" x14ac:dyDescent="0.2">
      <c r="C41" s="608" t="s">
        <v>240</v>
      </c>
      <c r="G41" s="610"/>
      <c r="H41" s="610"/>
      <c r="I41" s="610"/>
      <c r="J41" s="610"/>
      <c r="K41" s="408"/>
      <c r="L41" s="408"/>
      <c r="M41" s="408"/>
      <c r="N41" s="408"/>
      <c r="O41" s="408"/>
      <c r="P41" s="408"/>
      <c r="Q41" s="408"/>
    </row>
    <row r="42" spans="3:17" x14ac:dyDescent="0.2">
      <c r="D42" s="608"/>
      <c r="G42" s="610"/>
      <c r="H42" s="610"/>
      <c r="I42" s="610"/>
      <c r="J42" s="610"/>
      <c r="K42" s="408"/>
      <c r="L42" s="408"/>
      <c r="M42" s="408"/>
      <c r="N42" s="408"/>
      <c r="O42" s="408"/>
      <c r="P42" s="408"/>
    </row>
    <row r="43" spans="3:17" ht="15" customHeight="1" x14ac:dyDescent="0.2">
      <c r="D43" s="611" t="s">
        <v>268</v>
      </c>
      <c r="G43" s="409">
        <v>39</v>
      </c>
      <c r="H43" s="409">
        <v>26</v>
      </c>
      <c r="I43" s="409">
        <v>32</v>
      </c>
      <c r="J43" s="409">
        <v>27</v>
      </c>
      <c r="K43" s="408">
        <v>21</v>
      </c>
      <c r="L43" s="408">
        <v>26</v>
      </c>
      <c r="M43" s="408">
        <v>23</v>
      </c>
      <c r="N43" s="412">
        <v>24</v>
      </c>
      <c r="O43" s="408">
        <v>25</v>
      </c>
      <c r="P43" s="408">
        <v>18</v>
      </c>
      <c r="Q43" s="408">
        <v>21</v>
      </c>
    </row>
    <row r="44" spans="3:17" x14ac:dyDescent="0.2">
      <c r="C44" s="482"/>
      <c r="D44" s="611" t="s">
        <v>358</v>
      </c>
      <c r="G44" s="612">
        <v>5.4</v>
      </c>
      <c r="H44" s="612">
        <v>5.9</v>
      </c>
      <c r="I44" s="612">
        <v>7.3</v>
      </c>
      <c r="J44" s="612">
        <v>7.4</v>
      </c>
      <c r="K44" s="614">
        <v>7</v>
      </c>
      <c r="L44" s="614">
        <v>8.3000000000000007</v>
      </c>
      <c r="M44" s="614">
        <v>8</v>
      </c>
      <c r="N44" s="617">
        <v>8.8000000000000007</v>
      </c>
      <c r="O44" s="614">
        <v>8.4</v>
      </c>
      <c r="P44" s="614">
        <v>8.4</v>
      </c>
      <c r="Q44" s="614">
        <v>9.4</v>
      </c>
    </row>
    <row r="45" spans="3:17" x14ac:dyDescent="0.2">
      <c r="C45" s="482" t="s">
        <v>215</v>
      </c>
      <c r="D45" s="613"/>
      <c r="G45" s="612"/>
      <c r="H45" s="612"/>
      <c r="I45" s="612"/>
      <c r="J45" s="612"/>
      <c r="K45" s="614"/>
      <c r="L45" s="614"/>
      <c r="M45" s="408"/>
      <c r="N45" s="412"/>
      <c r="O45" s="408"/>
      <c r="P45" s="408"/>
    </row>
    <row r="46" spans="3:17" x14ac:dyDescent="0.2">
      <c r="D46" s="611" t="s">
        <v>216</v>
      </c>
      <c r="G46" s="612">
        <v>35.897435897435898</v>
      </c>
      <c r="H46" s="612">
        <v>38.46153846153846</v>
      </c>
      <c r="I46" s="612">
        <v>43.75</v>
      </c>
      <c r="J46" s="612">
        <v>48.1</v>
      </c>
      <c r="K46" s="614">
        <v>33.299999999999997</v>
      </c>
      <c r="L46" s="614">
        <v>69.2</v>
      </c>
      <c r="M46" s="614">
        <v>60.9</v>
      </c>
      <c r="N46" s="617">
        <v>75</v>
      </c>
      <c r="O46" s="614">
        <v>48</v>
      </c>
      <c r="P46" s="614">
        <v>83.3</v>
      </c>
      <c r="Q46" s="614">
        <v>66.7</v>
      </c>
    </row>
    <row r="47" spans="3:17" x14ac:dyDescent="0.2">
      <c r="D47" s="611" t="s">
        <v>217</v>
      </c>
      <c r="G47" s="612">
        <v>56.410256410256409</v>
      </c>
      <c r="H47" s="612">
        <v>65.384615384615387</v>
      </c>
      <c r="I47" s="612">
        <v>65.625</v>
      </c>
      <c r="J47" s="612">
        <v>70.400000000000006</v>
      </c>
      <c r="K47" s="614">
        <v>66.7</v>
      </c>
      <c r="L47" s="614">
        <v>84.6</v>
      </c>
      <c r="M47" s="614">
        <v>87</v>
      </c>
      <c r="N47" s="617">
        <v>87.5</v>
      </c>
      <c r="O47" s="614">
        <v>72</v>
      </c>
      <c r="P47" s="614">
        <v>83.3</v>
      </c>
      <c r="Q47" s="614">
        <v>95.2</v>
      </c>
    </row>
    <row r="48" spans="3:17" x14ac:dyDescent="0.2">
      <c r="D48" s="611" t="s">
        <v>228</v>
      </c>
      <c r="G48" s="612">
        <v>43.589743589743591</v>
      </c>
      <c r="H48" s="612">
        <v>46.153846153846153</v>
      </c>
      <c r="I48" s="612">
        <v>50</v>
      </c>
      <c r="J48" s="612">
        <v>37</v>
      </c>
      <c r="K48" s="614">
        <v>42.9</v>
      </c>
      <c r="L48" s="614">
        <v>84.6</v>
      </c>
      <c r="M48" s="614">
        <v>78.3</v>
      </c>
      <c r="N48" s="617">
        <v>75</v>
      </c>
      <c r="O48" s="614">
        <v>60</v>
      </c>
      <c r="P48" s="614">
        <v>83.3</v>
      </c>
      <c r="Q48" s="614">
        <v>71.400000000000006</v>
      </c>
    </row>
    <row r="49" spans="2:17" x14ac:dyDescent="0.2">
      <c r="D49" s="611" t="s">
        <v>218</v>
      </c>
      <c r="G49" s="612">
        <v>58.974358974358971</v>
      </c>
      <c r="H49" s="612">
        <v>69.230769230769226</v>
      </c>
      <c r="I49" s="612">
        <v>78.125</v>
      </c>
      <c r="J49" s="612">
        <v>88.9</v>
      </c>
      <c r="K49" s="614">
        <v>81</v>
      </c>
      <c r="L49" s="614">
        <v>96.2</v>
      </c>
      <c r="M49" s="614">
        <v>95.7</v>
      </c>
      <c r="N49" s="617">
        <v>100</v>
      </c>
      <c r="O49" s="614">
        <v>88</v>
      </c>
      <c r="P49" s="614">
        <v>100</v>
      </c>
      <c r="Q49" s="614">
        <v>100</v>
      </c>
    </row>
    <row r="50" spans="2:17" x14ac:dyDescent="0.2">
      <c r="C50" s="482"/>
      <c r="D50" s="615" t="s">
        <v>219</v>
      </c>
      <c r="G50" s="612">
        <v>92.307692307692307</v>
      </c>
      <c r="H50" s="612">
        <v>88.461538461538453</v>
      </c>
      <c r="I50" s="612">
        <v>100</v>
      </c>
      <c r="J50" s="612">
        <v>100</v>
      </c>
      <c r="K50" s="614">
        <v>100</v>
      </c>
      <c r="L50" s="614">
        <v>100</v>
      </c>
      <c r="M50" s="614">
        <v>100</v>
      </c>
      <c r="N50" s="617">
        <v>100</v>
      </c>
      <c r="O50" s="614">
        <v>88</v>
      </c>
      <c r="P50" s="614">
        <v>100</v>
      </c>
      <c r="Q50" s="614">
        <v>100</v>
      </c>
    </row>
    <row r="51" spans="2:17" x14ac:dyDescent="0.2">
      <c r="D51" s="615" t="s">
        <v>220</v>
      </c>
      <c r="G51" s="612">
        <v>71.794871794871796</v>
      </c>
      <c r="H51" s="612">
        <v>80.769230769230759</v>
      </c>
      <c r="I51" s="612">
        <v>71.875</v>
      </c>
      <c r="J51" s="612">
        <v>66.7</v>
      </c>
      <c r="K51" s="614">
        <v>71.400000000000006</v>
      </c>
      <c r="L51" s="614">
        <v>92.3</v>
      </c>
      <c r="M51" s="614">
        <v>82.6</v>
      </c>
      <c r="N51" s="617">
        <v>83.3</v>
      </c>
      <c r="O51" s="614">
        <v>68</v>
      </c>
      <c r="P51" s="614">
        <v>94.4</v>
      </c>
      <c r="Q51" s="614">
        <v>84.3</v>
      </c>
    </row>
    <row r="52" spans="2:17" x14ac:dyDescent="0.2">
      <c r="D52" s="615" t="s">
        <v>221</v>
      </c>
      <c r="G52" s="612">
        <v>46.153846153846153</v>
      </c>
      <c r="H52" s="612">
        <v>53.846153846153847</v>
      </c>
      <c r="I52" s="612">
        <v>53.125</v>
      </c>
      <c r="J52" s="612">
        <v>40.700000000000003</v>
      </c>
      <c r="K52" s="614">
        <v>47.6</v>
      </c>
      <c r="L52" s="614">
        <v>84.6</v>
      </c>
      <c r="M52" s="614">
        <v>82.6</v>
      </c>
      <c r="N52" s="617">
        <v>75</v>
      </c>
      <c r="O52" s="614">
        <v>60</v>
      </c>
      <c r="P52" s="614">
        <v>83.3</v>
      </c>
      <c r="Q52" s="614">
        <v>56.5</v>
      </c>
    </row>
    <row r="53" spans="2:17" x14ac:dyDescent="0.2">
      <c r="C53" s="618"/>
      <c r="D53" s="440"/>
      <c r="E53" s="440"/>
      <c r="F53" s="440"/>
      <c r="G53" s="440"/>
      <c r="H53" s="440"/>
      <c r="I53" s="440"/>
      <c r="J53" s="440"/>
      <c r="K53" s="440"/>
      <c r="L53" s="440"/>
      <c r="M53" s="440"/>
      <c r="N53" s="440"/>
      <c r="O53" s="440"/>
      <c r="P53" s="440"/>
      <c r="Q53" s="440"/>
    </row>
    <row r="54" spans="2:17" x14ac:dyDescent="0.2">
      <c r="C54" s="65"/>
      <c r="D54" s="413"/>
      <c r="E54" s="413"/>
      <c r="F54" s="413"/>
      <c r="G54" s="413"/>
      <c r="H54" s="413"/>
      <c r="I54" s="413"/>
      <c r="J54" s="413"/>
      <c r="K54" s="413"/>
      <c r="L54" s="413"/>
      <c r="M54" s="413"/>
    </row>
    <row r="55" spans="2:17" x14ac:dyDescent="0.2">
      <c r="B55" s="413"/>
      <c r="C55" s="65" t="s">
        <v>124</v>
      </c>
      <c r="E55" s="413"/>
      <c r="F55" s="413"/>
      <c r="G55" s="413"/>
      <c r="H55" s="413"/>
      <c r="I55" s="413"/>
      <c r="J55" s="413"/>
      <c r="K55" s="413"/>
      <c r="L55" s="413"/>
      <c r="M55" s="413"/>
    </row>
    <row r="56" spans="2:17" ht="18" customHeight="1" x14ac:dyDescent="0.2">
      <c r="B56" s="413"/>
      <c r="C56" s="445">
        <v>1</v>
      </c>
      <c r="D56" s="752" t="s">
        <v>314</v>
      </c>
      <c r="E56" s="752"/>
      <c r="F56" s="752"/>
      <c r="G56" s="752"/>
      <c r="H56" s="752"/>
      <c r="I56" s="752"/>
      <c r="J56" s="752"/>
      <c r="K56" s="752"/>
      <c r="L56" s="752"/>
      <c r="M56" s="752"/>
      <c r="N56" s="752"/>
    </row>
    <row r="57" spans="2:17" ht="17.25" customHeight="1" x14ac:dyDescent="0.2">
      <c r="B57" s="413"/>
      <c r="C57" s="413"/>
      <c r="D57" s="752" t="s">
        <v>248</v>
      </c>
      <c r="E57" s="752"/>
      <c r="F57" s="752"/>
      <c r="G57" s="752"/>
      <c r="H57" s="752"/>
      <c r="I57" s="752"/>
      <c r="J57" s="752"/>
      <c r="K57" s="752"/>
      <c r="L57" s="752"/>
      <c r="M57" s="752"/>
      <c r="N57" s="752"/>
    </row>
    <row r="58" spans="2:17" x14ac:dyDescent="0.2">
      <c r="B58" s="413"/>
      <c r="C58" s="413"/>
      <c r="D58" s="299" t="s">
        <v>359</v>
      </c>
      <c r="K58" s="413"/>
      <c r="L58" s="413"/>
      <c r="M58" s="413"/>
    </row>
    <row r="59" spans="2:17" x14ac:dyDescent="0.2">
      <c r="B59" s="413"/>
      <c r="C59" s="413"/>
      <c r="K59" s="413"/>
      <c r="L59" s="413"/>
      <c r="M59" s="413"/>
    </row>
    <row r="60" spans="2:17" ht="14.25" x14ac:dyDescent="0.2">
      <c r="B60" s="413"/>
      <c r="C60" s="446"/>
      <c r="D60" s="65" t="s">
        <v>360</v>
      </c>
      <c r="K60" s="413"/>
      <c r="L60" s="413"/>
      <c r="M60" s="413"/>
    </row>
    <row r="61" spans="2:17" ht="14.25" x14ac:dyDescent="0.2">
      <c r="B61" s="413"/>
      <c r="C61" s="446"/>
      <c r="K61" s="413"/>
      <c r="L61" s="413"/>
      <c r="M61" s="413"/>
    </row>
    <row r="62" spans="2:17" ht="14.25" x14ac:dyDescent="0.2">
      <c r="B62" s="413"/>
      <c r="C62" s="446"/>
      <c r="D62" s="413" t="s">
        <v>315</v>
      </c>
      <c r="K62" s="413"/>
      <c r="L62" s="413"/>
      <c r="M62" s="413"/>
    </row>
    <row r="63" spans="2:17" ht="14.25" x14ac:dyDescent="0.2">
      <c r="B63" s="413"/>
      <c r="C63" s="446"/>
      <c r="K63" s="413"/>
      <c r="L63" s="413"/>
      <c r="M63" s="413"/>
    </row>
    <row r="64" spans="2:17" ht="14.25" x14ac:dyDescent="0.2">
      <c r="B64" s="413"/>
      <c r="C64" s="446"/>
      <c r="D64" s="413"/>
      <c r="K64" s="413"/>
      <c r="L64" s="413"/>
      <c r="M64" s="413"/>
    </row>
    <row r="65" spans="2:10" ht="9" customHeight="1" x14ac:dyDescent="0.2">
      <c r="B65" s="413"/>
      <c r="C65" s="446"/>
      <c r="D65" s="65"/>
    </row>
    <row r="66" spans="2:10" x14ac:dyDescent="0.2">
      <c r="B66" s="733">
        <v>32</v>
      </c>
      <c r="C66" s="733"/>
      <c r="D66" s="733"/>
      <c r="E66" s="733"/>
      <c r="F66" s="733"/>
      <c r="G66" s="733"/>
      <c r="H66" s="733"/>
      <c r="I66" s="733"/>
      <c r="J66" s="409"/>
    </row>
  </sheetData>
  <mergeCells count="4">
    <mergeCell ref="B66:I66"/>
    <mergeCell ref="D56:N56"/>
    <mergeCell ref="D57:N57"/>
    <mergeCell ref="C7:O7"/>
  </mergeCells>
  <phoneticPr fontId="0" type="noConversion"/>
  <printOptions horizontalCentered="1"/>
  <pageMargins left="0.98425196850393704" right="0.98425196850393704" top="0.98425196850393704" bottom="0.98425196850393704" header="0.51181102362204722" footer="0.43307086614173229"/>
  <pageSetup scale="55" orientation="portrait" r:id="rId1"/>
  <headerFooter alignWithMargins="0"/>
  <colBreaks count="1" manualBreakCount="1">
    <brk id="13" min="1" max="65" man="1"/>
  </colBreaks>
  <drawing r:id="rId2"/>
  <legacyDrawing r:id="rId3"/>
  <oleObjects>
    <mc:AlternateContent xmlns:mc="http://schemas.openxmlformats.org/markup-compatibility/2006">
      <mc:Choice Requires="x14">
        <oleObject progId="MSPhotoEd.3" shapeId="22529" r:id="rId4">
          <objectPr defaultSize="0" autoPict="0" r:id="rId5">
            <anchor moveWithCells="1" sizeWithCells="1">
              <from>
                <xdr:col>0</xdr:col>
                <xdr:colOff>47625</xdr:colOff>
                <xdr:row>0</xdr:row>
                <xdr:rowOff>9525</xdr:rowOff>
              </from>
              <to>
                <xdr:col>0</xdr:col>
                <xdr:colOff>171450</xdr:colOff>
                <xdr:row>0</xdr:row>
                <xdr:rowOff>66675</xdr:rowOff>
              </to>
            </anchor>
          </objectPr>
        </oleObject>
      </mc:Choice>
      <mc:Fallback>
        <oleObject progId="MSPhotoEd.3" shapeId="22529" r:id="rId4"/>
      </mc:Fallback>
    </mc:AlternateContent>
    <mc:AlternateContent xmlns:mc="http://schemas.openxmlformats.org/markup-compatibility/2006">
      <mc:Choice Requires="x14">
        <oleObject progId="MSPhotoEd.3" shapeId="22531" r:id="rId6">
          <objectPr defaultSize="0" autoPict="0" r:id="rId5">
            <anchor moveWithCells="1" sizeWithCells="1">
              <from>
                <xdr:col>0</xdr:col>
                <xdr:colOff>85725</xdr:colOff>
                <xdr:row>2</xdr:row>
                <xdr:rowOff>9525</xdr:rowOff>
              </from>
              <to>
                <xdr:col>3</xdr:col>
                <xdr:colOff>142875</xdr:colOff>
                <xdr:row>4</xdr:row>
                <xdr:rowOff>66675</xdr:rowOff>
              </to>
            </anchor>
          </objectPr>
        </oleObject>
      </mc:Choice>
      <mc:Fallback>
        <oleObject progId="MSPhotoEd.3" shapeId="22531" r:id="rId6"/>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66"/>
  <sheetViews>
    <sheetView workbookViewId="0">
      <selection activeCell="E16" sqref="E16"/>
    </sheetView>
  </sheetViews>
  <sheetFormatPr defaultRowHeight="12.75" x14ac:dyDescent="0.2"/>
  <cols>
    <col min="1" max="1" width="6.140625" customWidth="1"/>
    <col min="2" max="2" width="13.140625" customWidth="1"/>
    <col min="3" max="3" width="21.28515625" customWidth="1"/>
    <col min="4" max="4" width="0.7109375" hidden="1" customWidth="1"/>
    <col min="5" max="5" width="22.140625" customWidth="1"/>
    <col min="6" max="6" width="4.28515625" customWidth="1"/>
    <col min="7" max="7" width="15.28515625" customWidth="1"/>
    <col min="8" max="8" width="11.28515625" customWidth="1"/>
  </cols>
  <sheetData>
    <row r="1" spans="1:8" ht="15.75" x14ac:dyDescent="0.25">
      <c r="A1" s="1">
        <f>'3.03'!C9+0.01</f>
        <v>0.01</v>
      </c>
      <c r="B1" s="13" t="s">
        <v>21</v>
      </c>
      <c r="C1" s="11"/>
      <c r="D1" s="11"/>
      <c r="E1" s="11"/>
      <c r="F1" s="11"/>
      <c r="G1" s="11"/>
      <c r="H1" s="11"/>
    </row>
    <row r="4" spans="1:8" ht="25.5" customHeight="1" x14ac:dyDescent="0.2">
      <c r="C4" s="30" t="s">
        <v>22</v>
      </c>
      <c r="D4" s="30"/>
      <c r="E4" s="30" t="s">
        <v>23</v>
      </c>
      <c r="F4" s="30"/>
      <c r="G4" s="30" t="s">
        <v>24</v>
      </c>
      <c r="H4" s="27" t="s">
        <v>25</v>
      </c>
    </row>
    <row r="6" spans="1:8" x14ac:dyDescent="0.2">
      <c r="B6" s="26" t="s">
        <v>18</v>
      </c>
    </row>
    <row r="8" spans="1:8" x14ac:dyDescent="0.2">
      <c r="B8" s="7">
        <v>1990</v>
      </c>
    </row>
    <row r="9" spans="1:8" x14ac:dyDescent="0.2">
      <c r="B9" s="6" t="s">
        <v>26</v>
      </c>
    </row>
    <row r="10" spans="1:8" x14ac:dyDescent="0.2">
      <c r="B10" s="6" t="s">
        <v>27</v>
      </c>
    </row>
    <row r="11" spans="1:8" x14ac:dyDescent="0.2">
      <c r="B11" s="7">
        <v>1991</v>
      </c>
    </row>
    <row r="12" spans="1:8" x14ac:dyDescent="0.2">
      <c r="B12" s="6" t="s">
        <v>26</v>
      </c>
    </row>
    <row r="13" spans="1:8" x14ac:dyDescent="0.2">
      <c r="B13" s="6" t="s">
        <v>27</v>
      </c>
    </row>
    <row r="14" spans="1:8" x14ac:dyDescent="0.2">
      <c r="B14" s="7">
        <v>1992</v>
      </c>
    </row>
    <row r="15" spans="1:8" x14ac:dyDescent="0.2">
      <c r="B15" s="6" t="s">
        <v>26</v>
      </c>
    </row>
    <row r="16" spans="1:8" x14ac:dyDescent="0.2">
      <c r="B16" s="6" t="s">
        <v>27</v>
      </c>
    </row>
    <row r="17" spans="2:8" x14ac:dyDescent="0.2">
      <c r="B17" s="10">
        <v>1993</v>
      </c>
    </row>
    <row r="18" spans="2:8" x14ac:dyDescent="0.2">
      <c r="B18" s="6" t="s">
        <v>26</v>
      </c>
    </row>
    <row r="19" spans="2:8" x14ac:dyDescent="0.2">
      <c r="B19" s="6" t="s">
        <v>27</v>
      </c>
    </row>
    <row r="20" spans="2:8" x14ac:dyDescent="0.2">
      <c r="B20" s="10">
        <v>1994</v>
      </c>
    </row>
    <row r="21" spans="2:8" x14ac:dyDescent="0.2">
      <c r="B21" s="6" t="s">
        <v>26</v>
      </c>
    </row>
    <row r="22" spans="2:8" x14ac:dyDescent="0.2">
      <c r="B22" s="6" t="s">
        <v>27</v>
      </c>
    </row>
    <row r="23" spans="2:8" x14ac:dyDescent="0.2">
      <c r="B23" s="10">
        <v>1995</v>
      </c>
    </row>
    <row r="24" spans="2:8" x14ac:dyDescent="0.2">
      <c r="B24" s="6" t="s">
        <v>26</v>
      </c>
    </row>
    <row r="25" spans="2:8" x14ac:dyDescent="0.2">
      <c r="B25" s="6" t="s">
        <v>27</v>
      </c>
    </row>
    <row r="26" spans="2:8" x14ac:dyDescent="0.2">
      <c r="B26" s="10">
        <v>1996</v>
      </c>
      <c r="G26">
        <v>45</v>
      </c>
    </row>
    <row r="27" spans="2:8" x14ac:dyDescent="0.2">
      <c r="B27" s="6" t="s">
        <v>26</v>
      </c>
    </row>
    <row r="28" spans="2:8" x14ac:dyDescent="0.2">
      <c r="B28" s="6" t="s">
        <v>27</v>
      </c>
    </row>
    <row r="29" spans="2:8" x14ac:dyDescent="0.2">
      <c r="B29" s="2"/>
      <c r="C29" s="2"/>
      <c r="D29" s="2"/>
      <c r="E29" s="2"/>
      <c r="F29" s="2"/>
      <c r="G29" s="2"/>
      <c r="H29" s="2"/>
    </row>
    <row r="30" spans="2:8" x14ac:dyDescent="0.2">
      <c r="B30" s="19"/>
      <c r="C30" s="19"/>
      <c r="D30" s="19"/>
      <c r="E30" s="19"/>
      <c r="F30" s="19"/>
      <c r="G30" s="19"/>
    </row>
    <row r="31" spans="2:8" x14ac:dyDescent="0.2">
      <c r="B31" s="7" t="s">
        <v>28</v>
      </c>
    </row>
    <row r="32" spans="2:8" x14ac:dyDescent="0.2">
      <c r="B32" s="18"/>
    </row>
    <row r="33" spans="2:2" x14ac:dyDescent="0.2">
      <c r="B33" s="7">
        <v>1990</v>
      </c>
    </row>
    <row r="34" spans="2:2" hidden="1" x14ac:dyDescent="0.2">
      <c r="B34" s="6" t="s">
        <v>8</v>
      </c>
    </row>
    <row r="35" spans="2:2" hidden="1" x14ac:dyDescent="0.2">
      <c r="B35" s="6" t="s">
        <v>9</v>
      </c>
    </row>
    <row r="36" spans="2:2" x14ac:dyDescent="0.2">
      <c r="B36" s="7">
        <v>1991</v>
      </c>
    </row>
    <row r="37" spans="2:2" hidden="1" x14ac:dyDescent="0.2">
      <c r="B37" s="6" t="s">
        <v>8</v>
      </c>
    </row>
    <row r="38" spans="2:2" hidden="1" x14ac:dyDescent="0.2">
      <c r="B38" s="6" t="s">
        <v>9</v>
      </c>
    </row>
    <row r="39" spans="2:2" ht="12.75" customHeight="1" x14ac:dyDescent="0.2">
      <c r="B39" s="7">
        <v>1992</v>
      </c>
    </row>
    <row r="40" spans="2:2" hidden="1" x14ac:dyDescent="0.2">
      <c r="B40" s="6" t="s">
        <v>8</v>
      </c>
    </row>
    <row r="41" spans="2:2" ht="12.75" hidden="1" customHeight="1" x14ac:dyDescent="0.2">
      <c r="B41" s="6" t="s">
        <v>9</v>
      </c>
    </row>
    <row r="42" spans="2:2" ht="13.5" customHeight="1" x14ac:dyDescent="0.2">
      <c r="B42" s="7">
        <v>1993</v>
      </c>
    </row>
    <row r="43" spans="2:2" hidden="1" x14ac:dyDescent="0.2">
      <c r="B43" s="6" t="s">
        <v>8</v>
      </c>
    </row>
    <row r="44" spans="2:2" hidden="1" x14ac:dyDescent="0.2">
      <c r="B44" s="6" t="s">
        <v>9</v>
      </c>
    </row>
    <row r="45" spans="2:2" x14ac:dyDescent="0.2">
      <c r="B45" s="7">
        <v>1994</v>
      </c>
    </row>
    <row r="46" spans="2:2" hidden="1" x14ac:dyDescent="0.2">
      <c r="B46" s="6" t="s">
        <v>8</v>
      </c>
    </row>
    <row r="47" spans="2:2" hidden="1" x14ac:dyDescent="0.2">
      <c r="B47" s="6" t="s">
        <v>9</v>
      </c>
    </row>
    <row r="48" spans="2:2" x14ac:dyDescent="0.2">
      <c r="B48" s="7">
        <v>1995</v>
      </c>
    </row>
    <row r="49" spans="2:2" hidden="1" x14ac:dyDescent="0.2">
      <c r="B49" s="6" t="s">
        <v>8</v>
      </c>
    </row>
    <row r="50" spans="2:2" hidden="1" x14ac:dyDescent="0.2">
      <c r="B50" s="6" t="s">
        <v>9</v>
      </c>
    </row>
    <row r="51" spans="2:2" x14ac:dyDescent="0.2">
      <c r="B51" s="7">
        <v>1996</v>
      </c>
    </row>
    <row r="52" spans="2:2" hidden="1" x14ac:dyDescent="0.2">
      <c r="B52" s="6" t="s">
        <v>8</v>
      </c>
    </row>
    <row r="53" spans="2:2" hidden="1" x14ac:dyDescent="0.2">
      <c r="B53" s="6" t="s">
        <v>9</v>
      </c>
    </row>
    <row r="55" spans="2:2" x14ac:dyDescent="0.2">
      <c r="B55" s="7" t="s">
        <v>29</v>
      </c>
    </row>
    <row r="57" spans="2:2" x14ac:dyDescent="0.2">
      <c r="B57" s="7" t="s">
        <v>30</v>
      </c>
    </row>
    <row r="58" spans="2:2" x14ac:dyDescent="0.2">
      <c r="B58" s="7" t="s">
        <v>31</v>
      </c>
    </row>
    <row r="60" spans="2:2" hidden="1" x14ac:dyDescent="0.2">
      <c r="B60" s="7">
        <v>1990</v>
      </c>
    </row>
    <row r="61" spans="2:2" hidden="1" x14ac:dyDescent="0.2">
      <c r="B61" s="7">
        <v>1991</v>
      </c>
    </row>
    <row r="62" spans="2:2" hidden="1" x14ac:dyDescent="0.2">
      <c r="B62" s="7">
        <v>1992</v>
      </c>
    </row>
    <row r="63" spans="2:2" hidden="1" x14ac:dyDescent="0.2">
      <c r="B63" s="7">
        <v>1993</v>
      </c>
    </row>
    <row r="64" spans="2:2" x14ac:dyDescent="0.2">
      <c r="B64" s="7">
        <v>1994</v>
      </c>
    </row>
    <row r="65" spans="2:2" x14ac:dyDescent="0.2">
      <c r="B65" s="7">
        <v>1995</v>
      </c>
    </row>
    <row r="66" spans="2:2" x14ac:dyDescent="0.2">
      <c r="B66" s="7">
        <v>1996</v>
      </c>
    </row>
  </sheetData>
  <phoneticPr fontId="0"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30"/>
  <sheetViews>
    <sheetView workbookViewId="0">
      <selection activeCell="E14" sqref="E14"/>
    </sheetView>
  </sheetViews>
  <sheetFormatPr defaultRowHeight="12.75" x14ac:dyDescent="0.2"/>
  <cols>
    <col min="1" max="1" width="26.85546875" customWidth="1"/>
    <col min="2" max="2" width="9.42578125" customWidth="1"/>
  </cols>
  <sheetData>
    <row r="1" spans="1:7" ht="15.75" x14ac:dyDescent="0.25">
      <c r="A1" s="31" t="s">
        <v>32</v>
      </c>
      <c r="B1" s="31" t="s">
        <v>33</v>
      </c>
    </row>
    <row r="4" spans="1:7" x14ac:dyDescent="0.2">
      <c r="C4" s="9">
        <v>1996</v>
      </c>
      <c r="D4" s="9">
        <v>1997</v>
      </c>
      <c r="E4" s="9">
        <v>1998</v>
      </c>
      <c r="F4" s="9">
        <v>1999</v>
      </c>
      <c r="G4" s="9"/>
    </row>
    <row r="5" spans="1:7" x14ac:dyDescent="0.2">
      <c r="C5" s="19"/>
      <c r="D5" s="19"/>
      <c r="E5" s="19"/>
      <c r="F5" s="19"/>
      <c r="G5" s="19"/>
    </row>
    <row r="6" spans="1:7" x14ac:dyDescent="0.2">
      <c r="A6" s="7" t="s">
        <v>18</v>
      </c>
      <c r="C6" s="19"/>
      <c r="D6" s="19"/>
      <c r="E6" s="19"/>
      <c r="F6" s="19"/>
      <c r="G6" s="19"/>
    </row>
    <row r="7" spans="1:7" x14ac:dyDescent="0.2">
      <c r="A7" s="18" t="s">
        <v>34</v>
      </c>
      <c r="C7" s="19">
        <v>40</v>
      </c>
      <c r="D7" s="19"/>
      <c r="E7" s="19"/>
      <c r="F7" s="19"/>
      <c r="G7" s="19"/>
    </row>
    <row r="8" spans="1:7" x14ac:dyDescent="0.2">
      <c r="A8" s="18" t="s">
        <v>9</v>
      </c>
      <c r="C8" s="19">
        <v>117</v>
      </c>
      <c r="D8" s="19"/>
      <c r="E8" s="19"/>
      <c r="F8" s="19"/>
      <c r="G8" s="19"/>
    </row>
    <row r="9" spans="1:7" x14ac:dyDescent="0.2">
      <c r="C9" s="19"/>
      <c r="D9" s="19"/>
      <c r="E9" s="19"/>
      <c r="F9" s="19"/>
      <c r="G9" s="19"/>
    </row>
    <row r="10" spans="1:7" x14ac:dyDescent="0.2">
      <c r="C10" s="19"/>
      <c r="D10" s="19"/>
      <c r="E10" s="19"/>
      <c r="F10" s="19"/>
      <c r="G10" s="19"/>
    </row>
    <row r="12" spans="1:7" x14ac:dyDescent="0.2">
      <c r="A12" s="7" t="s">
        <v>35</v>
      </c>
      <c r="C12">
        <v>69</v>
      </c>
    </row>
    <row r="14" spans="1:7" x14ac:dyDescent="0.2">
      <c r="A14" s="7" t="s">
        <v>36</v>
      </c>
      <c r="C14">
        <v>65</v>
      </c>
    </row>
    <row r="16" spans="1:7" x14ac:dyDescent="0.2">
      <c r="A16" s="7" t="s">
        <v>37</v>
      </c>
      <c r="C16">
        <v>4</v>
      </c>
    </row>
    <row r="19" spans="1:3" x14ac:dyDescent="0.2">
      <c r="A19" s="7" t="s">
        <v>38</v>
      </c>
      <c r="C19">
        <v>77</v>
      </c>
    </row>
    <row r="21" spans="1:3" x14ac:dyDescent="0.2">
      <c r="A21" s="7" t="s">
        <v>36</v>
      </c>
      <c r="C21">
        <v>68</v>
      </c>
    </row>
    <row r="23" spans="1:3" x14ac:dyDescent="0.2">
      <c r="A23" s="7" t="s">
        <v>39</v>
      </c>
      <c r="C23">
        <v>9</v>
      </c>
    </row>
    <row r="24" spans="1:3" x14ac:dyDescent="0.2">
      <c r="A24" s="7"/>
    </row>
    <row r="26" spans="1:3" x14ac:dyDescent="0.2">
      <c r="A26" s="7" t="s">
        <v>40</v>
      </c>
      <c r="C26">
        <v>20</v>
      </c>
    </row>
    <row r="28" spans="1:3" x14ac:dyDescent="0.2">
      <c r="A28" s="7" t="s">
        <v>41</v>
      </c>
      <c r="C28">
        <v>13</v>
      </c>
    </row>
    <row r="30" spans="1:3" x14ac:dyDescent="0.2">
      <c r="A30" s="7" t="s">
        <v>42</v>
      </c>
      <c r="C30">
        <v>7</v>
      </c>
    </row>
  </sheetData>
  <phoneticPr fontId="0" type="noConversion"/>
  <pageMargins left="0.75" right="0.75" top="1" bottom="1" header="0.5" footer="0.5"/>
  <pageSetup orientation="portrait" r:id="rId1"/>
  <headerFooter alignWithMargins="0">
    <oddHeader>&amp;A</oddHeader>
    <oddFooter>Page &amp;P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pageSetUpPr fitToPage="1"/>
  </sheetPr>
  <dimension ref="B4:AI85"/>
  <sheetViews>
    <sheetView view="pageBreakPreview" zoomScaleNormal="75" zoomScaleSheetLayoutView="75" workbookViewId="0">
      <pane xSplit="6" ySplit="12" topLeftCell="G16" activePane="bottomRight" state="frozen"/>
      <selection activeCell="P12" sqref="P12"/>
      <selection pane="topRight" activeCell="P12" sqref="P12"/>
      <selection pane="bottomLeft" activeCell="P12" sqref="P12"/>
      <selection pane="bottomRight" activeCell="C41" sqref="C41"/>
    </sheetView>
  </sheetViews>
  <sheetFormatPr defaultColWidth="9.140625" defaultRowHeight="12.75" outlineLevelRow="1" x14ac:dyDescent="0.2"/>
  <cols>
    <col min="1" max="1" width="4.28515625" style="128" customWidth="1"/>
    <col min="2" max="2" width="6.42578125" style="128" customWidth="1"/>
    <col min="3" max="3" width="33.28515625" style="128" customWidth="1"/>
    <col min="4" max="5" width="13" style="128" hidden="1" customWidth="1"/>
    <col min="6" max="6" width="11" style="128" hidden="1" customWidth="1"/>
    <col min="7" max="7" width="9.5703125" style="128" hidden="1" customWidth="1"/>
    <col min="8" max="8" width="0" style="128" hidden="1" customWidth="1"/>
    <col min="9" max="9" width="9.28515625" style="128" hidden="1" customWidth="1"/>
    <col min="10" max="10" width="7.85546875" style="128" hidden="1" customWidth="1"/>
    <col min="11" max="11" width="8.140625" style="128" hidden="1" customWidth="1"/>
    <col min="12" max="12" width="13.28515625" style="128" hidden="1" customWidth="1"/>
    <col min="13" max="13" width="0" style="129" hidden="1" customWidth="1"/>
    <col min="14" max="14" width="9.28515625" style="129" hidden="1" customWidth="1"/>
    <col min="15" max="15" width="9" style="128" hidden="1" customWidth="1"/>
    <col min="16" max="16" width="8.85546875" style="128" hidden="1" customWidth="1"/>
    <col min="17" max="17" width="9" style="128" hidden="1" customWidth="1"/>
    <col min="18" max="19" width="12.7109375" style="128" hidden="1" customWidth="1"/>
    <col min="20" max="24" width="12.7109375" style="128" customWidth="1"/>
    <col min="25" max="25" width="9.140625" style="128" customWidth="1"/>
    <col min="26" max="26" width="11.140625" style="128" customWidth="1"/>
    <col min="27" max="27" width="10.85546875" style="128" customWidth="1"/>
    <col min="28" max="16384" width="9.140625" style="128"/>
  </cols>
  <sheetData>
    <row r="4" spans="2:35" ht="16.5" x14ac:dyDescent="0.3">
      <c r="N4" s="753" t="s">
        <v>195</v>
      </c>
      <c r="O4" s="753"/>
      <c r="P4" s="753"/>
      <c r="Q4" s="753"/>
      <c r="R4" s="753"/>
      <c r="S4" s="753"/>
      <c r="T4" s="753"/>
      <c r="U4" s="753"/>
      <c r="V4" s="753"/>
      <c r="W4" s="753"/>
      <c r="X4" s="753"/>
      <c r="Y4" s="172"/>
    </row>
    <row r="5" spans="2:35" ht="9" customHeight="1" x14ac:dyDescent="0.2">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row>
    <row r="8" spans="2:35" s="130" customFormat="1" ht="15.75" x14ac:dyDescent="0.25">
      <c r="B8" s="183">
        <v>3.05</v>
      </c>
      <c r="C8" s="754" t="s">
        <v>238</v>
      </c>
      <c r="D8" s="754"/>
      <c r="E8" s="754"/>
      <c r="F8" s="754"/>
      <c r="G8" s="754"/>
      <c r="H8" s="754"/>
      <c r="I8" s="754"/>
      <c r="J8" s="754"/>
      <c r="K8" s="754"/>
      <c r="L8" s="754"/>
      <c r="M8" s="754"/>
      <c r="N8" s="754"/>
      <c r="O8" s="754"/>
      <c r="P8" s="754"/>
      <c r="Q8" s="754"/>
      <c r="R8" s="754"/>
      <c r="S8" s="754"/>
      <c r="T8" s="754"/>
      <c r="U8" s="754"/>
      <c r="V8" s="754"/>
      <c r="W8" s="754"/>
      <c r="X8" s="754"/>
      <c r="Y8" s="173"/>
    </row>
    <row r="9" spans="2:35" x14ac:dyDescent="0.2">
      <c r="B9" s="184"/>
      <c r="C9" s="184"/>
      <c r="D9" s="184"/>
      <c r="E9" s="184"/>
      <c r="F9" s="184"/>
      <c r="G9" s="184"/>
      <c r="H9" s="184"/>
      <c r="I9" s="184"/>
      <c r="J9" s="184"/>
      <c r="K9" s="184"/>
      <c r="L9" s="184"/>
      <c r="M9" s="185"/>
      <c r="N9" s="185"/>
      <c r="O9" s="184"/>
      <c r="P9" s="184"/>
      <c r="Q9" s="184"/>
      <c r="R9" s="184"/>
      <c r="S9" s="184"/>
      <c r="T9" s="184"/>
      <c r="U9" s="184"/>
      <c r="V9" s="184"/>
      <c r="W9" s="184"/>
      <c r="X9" s="184"/>
    </row>
    <row r="10" spans="2:35" ht="12.75" customHeight="1" x14ac:dyDescent="0.25">
      <c r="B10" s="184"/>
      <c r="C10" s="184"/>
      <c r="D10" s="186"/>
      <c r="E10" s="186"/>
      <c r="F10" s="186"/>
      <c r="G10" s="186"/>
      <c r="H10" s="186"/>
      <c r="I10" s="187"/>
      <c r="J10" s="187"/>
      <c r="K10" s="187"/>
      <c r="L10" s="184"/>
      <c r="M10" s="185"/>
      <c r="N10" s="185"/>
      <c r="O10" s="184"/>
      <c r="P10" s="184"/>
      <c r="Q10" s="184"/>
      <c r="R10" s="184"/>
      <c r="S10" s="184"/>
      <c r="T10" s="184"/>
      <c r="U10" s="184"/>
      <c r="V10" s="188"/>
      <c r="W10" s="188"/>
      <c r="X10" s="189" t="s">
        <v>144</v>
      </c>
      <c r="Y10" s="182"/>
    </row>
    <row r="11" spans="2:35" x14ac:dyDescent="0.2">
      <c r="B11" s="184"/>
      <c r="C11" s="190"/>
      <c r="D11" s="191">
        <v>1995</v>
      </c>
      <c r="E11" s="191">
        <v>1996</v>
      </c>
      <c r="F11" s="191">
        <v>1997</v>
      </c>
      <c r="G11" s="191">
        <v>1998</v>
      </c>
      <c r="H11" s="191">
        <v>1999</v>
      </c>
      <c r="I11" s="192">
        <f>H11+1</f>
        <v>2000</v>
      </c>
      <c r="J11" s="192">
        <f>I11+1</f>
        <v>2001</v>
      </c>
      <c r="K11" s="192">
        <f>J11+1</f>
        <v>2002</v>
      </c>
      <c r="L11" s="192">
        <f>K11+1</f>
        <v>2003</v>
      </c>
      <c r="M11" s="191">
        <v>2000</v>
      </c>
      <c r="N11" s="191">
        <v>2001</v>
      </c>
      <c r="O11" s="191">
        <v>2002</v>
      </c>
      <c r="P11" s="191">
        <v>2003</v>
      </c>
      <c r="Q11" s="191">
        <v>2004</v>
      </c>
      <c r="R11" s="191">
        <v>2005</v>
      </c>
      <c r="S11" s="191">
        <v>2006</v>
      </c>
      <c r="T11" s="191">
        <v>2007</v>
      </c>
      <c r="U11" s="191">
        <v>2008</v>
      </c>
      <c r="V11" s="193">
        <v>2009</v>
      </c>
      <c r="W11" s="194">
        <v>2010</v>
      </c>
      <c r="X11" s="194">
        <v>2011</v>
      </c>
      <c r="Y11" s="194">
        <v>2012</v>
      </c>
    </row>
    <row r="12" spans="2:35" x14ac:dyDescent="0.2">
      <c r="B12" s="184"/>
      <c r="C12" s="195" t="s">
        <v>17</v>
      </c>
      <c r="D12" s="196"/>
      <c r="E12" s="196"/>
      <c r="F12" s="196"/>
      <c r="G12" s="196"/>
      <c r="H12" s="196"/>
      <c r="I12" s="196"/>
      <c r="J12" s="196"/>
      <c r="K12" s="196"/>
      <c r="L12" s="196"/>
      <c r="M12" s="197"/>
      <c r="N12" s="197"/>
      <c r="O12" s="196"/>
      <c r="P12" s="196"/>
      <c r="Q12" s="196"/>
      <c r="R12" s="196"/>
      <c r="S12" s="196"/>
      <c r="T12" s="196"/>
      <c r="U12" s="196"/>
      <c r="V12" s="196"/>
      <c r="W12" s="184"/>
      <c r="X12" s="184"/>
      <c r="Y12" s="184"/>
    </row>
    <row r="13" spans="2:35" x14ac:dyDescent="0.2">
      <c r="B13" s="184"/>
      <c r="C13" s="198"/>
      <c r="D13" s="196"/>
      <c r="E13" s="196"/>
      <c r="F13" s="196"/>
      <c r="G13" s="196"/>
      <c r="H13" s="196"/>
      <c r="I13" s="196"/>
      <c r="J13" s="196"/>
      <c r="K13" s="196"/>
      <c r="L13" s="196"/>
      <c r="M13" s="197"/>
      <c r="N13" s="197"/>
      <c r="O13" s="196"/>
      <c r="P13" s="196"/>
      <c r="Q13" s="196"/>
      <c r="R13" s="196"/>
      <c r="S13" s="196"/>
      <c r="T13" s="196"/>
      <c r="U13" s="196"/>
      <c r="V13" s="196"/>
      <c r="W13" s="184"/>
      <c r="X13" s="184"/>
      <c r="Y13" s="184"/>
      <c r="Z13" s="134"/>
    </row>
    <row r="14" spans="2:35" s="135" customFormat="1" ht="14.25" x14ac:dyDescent="0.2">
      <c r="B14" s="199"/>
      <c r="C14" s="200" t="s">
        <v>2</v>
      </c>
      <c r="D14" s="201">
        <f>D15+D16</f>
        <v>7042213.1500000004</v>
      </c>
      <c r="E14" s="201">
        <f>E15+E16</f>
        <v>6156703.4900000002</v>
      </c>
      <c r="F14" s="201">
        <f>F15+F16</f>
        <v>7033313.9800000004</v>
      </c>
      <c r="G14" s="202">
        <f t="shared" ref="G14:N14" si="0">SUM(G15:G16)</f>
        <v>7228.1</v>
      </c>
      <c r="H14" s="202">
        <f t="shared" si="0"/>
        <v>10720.038</v>
      </c>
      <c r="I14" s="202">
        <f t="shared" si="0"/>
        <v>0</v>
      </c>
      <c r="J14" s="202">
        <f t="shared" si="0"/>
        <v>0</v>
      </c>
      <c r="K14" s="202">
        <f t="shared" si="0"/>
        <v>0</v>
      </c>
      <c r="L14" s="202">
        <f t="shared" si="0"/>
        <v>0</v>
      </c>
      <c r="M14" s="202">
        <f t="shared" si="0"/>
        <v>10527.824000000001</v>
      </c>
      <c r="N14" s="203">
        <f t="shared" si="0"/>
        <v>11654.50908</v>
      </c>
      <c r="O14" s="203">
        <f>SUM(O15:O16)</f>
        <v>12171.915809999999</v>
      </c>
      <c r="P14" s="204" t="s">
        <v>114</v>
      </c>
      <c r="Q14" s="204" t="s">
        <v>114</v>
      </c>
      <c r="R14" s="205">
        <f t="shared" ref="R14:X14" si="1">SUM(R15:R16)</f>
        <v>16907.589749999999</v>
      </c>
      <c r="S14" s="206">
        <f t="shared" si="1"/>
        <v>24552.851999999999</v>
      </c>
      <c r="T14" s="206">
        <f t="shared" si="1"/>
        <v>27073.154999999999</v>
      </c>
      <c r="U14" s="206">
        <f t="shared" si="1"/>
        <v>30716.088000000003</v>
      </c>
      <c r="V14" s="206">
        <f t="shared" si="1"/>
        <v>31476.644</v>
      </c>
      <c r="W14" s="206">
        <f t="shared" si="1"/>
        <v>28806.389349999998</v>
      </c>
      <c r="X14" s="206">
        <f t="shared" si="1"/>
        <v>1515.3</v>
      </c>
      <c r="Y14" s="206"/>
      <c r="Z14" s="93"/>
    </row>
    <row r="15" spans="2:35" ht="14.25" x14ac:dyDescent="0.2">
      <c r="B15" s="184"/>
      <c r="C15" s="207" t="s">
        <v>5</v>
      </c>
      <c r="D15" s="197">
        <v>3931140</v>
      </c>
      <c r="E15" s="197">
        <v>3094373</v>
      </c>
      <c r="F15" s="197">
        <v>3614646</v>
      </c>
      <c r="G15" s="208">
        <v>3811.3</v>
      </c>
      <c r="H15" s="208">
        <f>5852301/1000</f>
        <v>5852.3010000000004</v>
      </c>
      <c r="I15" s="208"/>
      <c r="J15" s="208"/>
      <c r="K15" s="208"/>
      <c r="L15" s="208"/>
      <c r="M15" s="208">
        <v>6020</v>
      </c>
      <c r="N15" s="208">
        <f>6896896/1000</f>
        <v>6896.8959999999997</v>
      </c>
      <c r="O15" s="208">
        <f>6802288/1000</f>
        <v>6802.2879999999996</v>
      </c>
      <c r="P15" s="209" t="s">
        <v>114</v>
      </c>
      <c r="Q15" s="210">
        <f>8241300/1000</f>
        <v>8241.2999999999993</v>
      </c>
      <c r="R15" s="210">
        <f>13872700/1000</f>
        <v>13872.7</v>
      </c>
      <c r="S15" s="210">
        <f>14147083/1000</f>
        <v>14147.083000000001</v>
      </c>
      <c r="T15" s="211">
        <f>16655731/1000</f>
        <v>16655.731</v>
      </c>
      <c r="U15" s="212">
        <v>18598.900000000001</v>
      </c>
      <c r="V15" s="213">
        <v>18644.8</v>
      </c>
      <c r="W15" s="213">
        <v>17061</v>
      </c>
      <c r="X15" s="213"/>
      <c r="Y15" s="213"/>
      <c r="Z15" s="62"/>
      <c r="AC15" s="132">
        <f>(2809000/5129000)*100</f>
        <v>54.767011113277441</v>
      </c>
    </row>
    <row r="16" spans="2:35" x14ac:dyDescent="0.2">
      <c r="B16" s="184"/>
      <c r="C16" s="207" t="s">
        <v>6</v>
      </c>
      <c r="D16" s="197">
        <f>SUM(D17:D26)</f>
        <v>3111073.15</v>
      </c>
      <c r="E16" s="197">
        <f>SUM(E17:E26)</f>
        <v>3062330.4899999998</v>
      </c>
      <c r="F16" s="197">
        <f>SUM(F17:F26)</f>
        <v>3418667.98</v>
      </c>
      <c r="G16" s="214">
        <f>SUM(G17:G26)</f>
        <v>3416.7999999999997</v>
      </c>
      <c r="H16" s="214">
        <f>SUM(H17:H26)</f>
        <v>4867.7370000000001</v>
      </c>
      <c r="I16" s="215"/>
      <c r="J16" s="215"/>
      <c r="K16" s="215"/>
      <c r="L16" s="215"/>
      <c r="M16" s="214">
        <f t="shared" ref="M16:T16" si="2">SUM(M17:M26)</f>
        <v>4507.8239999999996</v>
      </c>
      <c r="N16" s="214">
        <f t="shared" si="2"/>
        <v>4757.6130800000001</v>
      </c>
      <c r="O16" s="214">
        <f t="shared" si="2"/>
        <v>5369.62781</v>
      </c>
      <c r="P16" s="216">
        <f t="shared" si="2"/>
        <v>4385.1428599999999</v>
      </c>
      <c r="Q16" s="216">
        <f t="shared" si="2"/>
        <v>1077.71811</v>
      </c>
      <c r="R16" s="216">
        <f t="shared" si="2"/>
        <v>3034.8897500000003</v>
      </c>
      <c r="S16" s="201">
        <f t="shared" si="2"/>
        <v>10405.769</v>
      </c>
      <c r="T16" s="216">
        <f t="shared" si="2"/>
        <v>10417.423999999999</v>
      </c>
      <c r="U16" s="217">
        <f>SUM(U17:U26)</f>
        <v>12117.188</v>
      </c>
      <c r="V16" s="217">
        <f>SUM(V17:V26)</f>
        <v>12831.843999999999</v>
      </c>
      <c r="W16" s="217">
        <f>SUM(W18:W26)</f>
        <v>11745.389349999999</v>
      </c>
      <c r="X16" s="217">
        <f>SUM(X18:X26)</f>
        <v>1515.3</v>
      </c>
      <c r="Y16" s="217"/>
      <c r="Z16" s="62"/>
    </row>
    <row r="17" spans="2:27" ht="14.25" x14ac:dyDescent="0.2">
      <c r="B17" s="184"/>
      <c r="C17" s="218" t="s">
        <v>82</v>
      </c>
      <c r="D17" s="197">
        <f>988390/2</f>
        <v>494195</v>
      </c>
      <c r="E17" s="197">
        <f>1040282/2</f>
        <v>520141</v>
      </c>
      <c r="F17" s="197">
        <v>1082080</v>
      </c>
      <c r="G17" s="208">
        <v>1132.0999999999999</v>
      </c>
      <c r="H17" s="208">
        <f>872437/1000</f>
        <v>872.43700000000001</v>
      </c>
      <c r="I17" s="197"/>
      <c r="J17" s="197"/>
      <c r="K17" s="197"/>
      <c r="L17" s="197"/>
      <c r="M17" s="204" t="s">
        <v>114</v>
      </c>
      <c r="N17" s="204" t="s">
        <v>114</v>
      </c>
      <c r="O17" s="204" t="s">
        <v>114</v>
      </c>
      <c r="P17" s="204" t="s">
        <v>114</v>
      </c>
      <c r="Q17" s="204" t="s">
        <v>114</v>
      </c>
      <c r="R17" s="204" t="s">
        <v>114</v>
      </c>
      <c r="S17" s="211">
        <f>1057126/1000</f>
        <v>1057.126</v>
      </c>
      <c r="T17" s="211">
        <f>1281784/1000</f>
        <v>1281.7840000000001</v>
      </c>
      <c r="U17" s="219">
        <f>710325/1000</f>
        <v>710.32500000000005</v>
      </c>
      <c r="V17" s="211">
        <f>826108/1000</f>
        <v>826.10799999999995</v>
      </c>
      <c r="W17" s="213">
        <v>709.2</v>
      </c>
      <c r="X17" s="213"/>
      <c r="Y17" s="213"/>
      <c r="Z17" s="62"/>
    </row>
    <row r="18" spans="2:27" ht="14.25" x14ac:dyDescent="0.2">
      <c r="B18" s="184"/>
      <c r="C18" s="218" t="s">
        <v>95</v>
      </c>
      <c r="D18" s="197">
        <v>615920</v>
      </c>
      <c r="E18" s="197">
        <v>615920</v>
      </c>
      <c r="F18" s="197">
        <v>770922</v>
      </c>
      <c r="G18" s="208">
        <v>756</v>
      </c>
      <c r="H18" s="208">
        <f>(955000*0.84)/1000</f>
        <v>802.2</v>
      </c>
      <c r="I18" s="197"/>
      <c r="J18" s="197"/>
      <c r="K18" s="197"/>
      <c r="L18" s="197"/>
      <c r="M18" s="208">
        <f>1147*0.84</f>
        <v>963.48</v>
      </c>
      <c r="N18" s="208">
        <f>(1132712/1000)*0.84</f>
        <v>951.47807999999998</v>
      </c>
      <c r="O18" s="208">
        <f>1533785.81/1000</f>
        <v>1533.7858100000001</v>
      </c>
      <c r="P18" s="208">
        <f>1531152.72/1000</f>
        <v>1531.15272</v>
      </c>
      <c r="Q18" s="204" t="s">
        <v>114</v>
      </c>
      <c r="R18" s="208">
        <f>1552176/1000</f>
        <v>1552.1759999999999</v>
      </c>
      <c r="S18" s="208">
        <f>1760474/1000</f>
        <v>1760.4739999999999</v>
      </c>
      <c r="T18" s="208">
        <f>2033051/1000</f>
        <v>2033.0509999999999</v>
      </c>
      <c r="U18" s="219">
        <f>2100514/1000</f>
        <v>2100.5140000000001</v>
      </c>
      <c r="V18" s="219">
        <f>2276490/1000</f>
        <v>2276.4899999999998</v>
      </c>
      <c r="W18" s="213">
        <v>2026.77035</v>
      </c>
      <c r="X18" s="213"/>
      <c r="Y18" s="213"/>
      <c r="Z18" s="62"/>
    </row>
    <row r="19" spans="2:27" ht="14.25" x14ac:dyDescent="0.2">
      <c r="B19" s="184"/>
      <c r="C19" s="218" t="s">
        <v>80</v>
      </c>
      <c r="D19" s="197">
        <v>570271.92000000004</v>
      </c>
      <c r="E19" s="197">
        <v>385498.34</v>
      </c>
      <c r="F19" s="197">
        <v>290031</v>
      </c>
      <c r="G19" s="204" t="s">
        <v>114</v>
      </c>
      <c r="H19" s="204" t="s">
        <v>114</v>
      </c>
      <c r="I19" s="197"/>
      <c r="J19" s="197"/>
      <c r="K19" s="197"/>
      <c r="L19" s="197"/>
      <c r="M19" s="208">
        <v>330</v>
      </c>
      <c r="N19" s="208">
        <f>373620/1000</f>
        <v>373.62</v>
      </c>
      <c r="O19" s="208">
        <f>427817/1000</f>
        <v>427.81700000000001</v>
      </c>
      <c r="P19" s="208">
        <f>375140.65/1000</f>
        <v>375.14065000000005</v>
      </c>
      <c r="Q19" s="204" t="s">
        <v>114</v>
      </c>
      <c r="R19" s="204" t="s">
        <v>114</v>
      </c>
      <c r="S19" s="211">
        <f>539000/1000</f>
        <v>539</v>
      </c>
      <c r="T19" s="211">
        <f>473000/1000</f>
        <v>473</v>
      </c>
      <c r="U19" s="219">
        <f>355000/1000</f>
        <v>355</v>
      </c>
      <c r="V19" s="219">
        <f>372722/1000</f>
        <v>372.72199999999998</v>
      </c>
      <c r="W19" s="213">
        <v>514.17462</v>
      </c>
      <c r="X19" s="213"/>
      <c r="Y19" s="213"/>
    </row>
    <row r="20" spans="2:27" ht="14.25" x14ac:dyDescent="0.2">
      <c r="B20" s="184"/>
      <c r="C20" s="218" t="s">
        <v>243</v>
      </c>
      <c r="D20" s="197"/>
      <c r="E20" s="197"/>
      <c r="F20" s="197"/>
      <c r="G20" s="204"/>
      <c r="H20" s="204"/>
      <c r="I20" s="197"/>
      <c r="J20" s="197"/>
      <c r="K20" s="197"/>
      <c r="L20" s="197"/>
      <c r="M20" s="208"/>
      <c r="N20" s="208"/>
      <c r="O20" s="208"/>
      <c r="P20" s="208"/>
      <c r="Q20" s="204"/>
      <c r="R20" s="204"/>
      <c r="S20" s="211"/>
      <c r="T20" s="211"/>
      <c r="U20" s="219"/>
      <c r="V20" s="219"/>
      <c r="W20" s="213"/>
      <c r="X20" s="213"/>
      <c r="Y20" s="213"/>
    </row>
    <row r="21" spans="2:27" ht="14.25" x14ac:dyDescent="0.2">
      <c r="B21" s="184"/>
      <c r="C21" s="218" t="s">
        <v>241</v>
      </c>
      <c r="D21" s="197"/>
      <c r="E21" s="197"/>
      <c r="F21" s="197"/>
      <c r="G21" s="204"/>
      <c r="H21" s="204"/>
      <c r="I21" s="197"/>
      <c r="J21" s="197"/>
      <c r="K21" s="197"/>
      <c r="L21" s="197"/>
      <c r="M21" s="208"/>
      <c r="N21" s="208"/>
      <c r="O21" s="208"/>
      <c r="P21" s="208"/>
      <c r="Q21" s="204"/>
      <c r="R21" s="204"/>
      <c r="S21" s="211"/>
      <c r="T21" s="211"/>
      <c r="U21" s="219"/>
      <c r="V21" s="219"/>
      <c r="W21" s="213"/>
      <c r="X21" s="213"/>
      <c r="Y21" s="213"/>
    </row>
    <row r="22" spans="2:27" ht="14.25" x14ac:dyDescent="0.2">
      <c r="B22" s="184"/>
      <c r="C22" s="218" t="s">
        <v>242</v>
      </c>
      <c r="D22" s="197"/>
      <c r="E22" s="197"/>
      <c r="F22" s="197"/>
      <c r="G22" s="204"/>
      <c r="H22" s="204"/>
      <c r="I22" s="197"/>
      <c r="J22" s="197"/>
      <c r="K22" s="197"/>
      <c r="L22" s="197"/>
      <c r="M22" s="208"/>
      <c r="N22" s="208"/>
      <c r="O22" s="208"/>
      <c r="P22" s="208"/>
      <c r="Q22" s="204"/>
      <c r="R22" s="204"/>
      <c r="S22" s="211"/>
      <c r="T22" s="211"/>
      <c r="U22" s="219"/>
      <c r="V22" s="219"/>
      <c r="W22" s="213"/>
      <c r="X22" s="213"/>
      <c r="Y22" s="213"/>
    </row>
    <row r="23" spans="2:27" x14ac:dyDescent="0.2">
      <c r="B23" s="184"/>
      <c r="C23" s="218" t="s">
        <v>81</v>
      </c>
      <c r="D23" s="197">
        <v>376290</v>
      </c>
      <c r="E23" s="197">
        <v>378116</v>
      </c>
      <c r="F23" s="197">
        <v>36964</v>
      </c>
      <c r="G23" s="211">
        <v>416.2</v>
      </c>
      <c r="H23" s="211">
        <v>397.3</v>
      </c>
      <c r="I23" s="220"/>
      <c r="J23" s="220"/>
      <c r="K23" s="220"/>
      <c r="L23" s="220"/>
      <c r="M23" s="211">
        <v>444.4</v>
      </c>
      <c r="N23" s="211">
        <f>468671/1000</f>
        <v>468.67099999999999</v>
      </c>
      <c r="O23" s="211">
        <f>466639/1000</f>
        <v>466.63900000000001</v>
      </c>
      <c r="P23" s="211">
        <f>440183.49/1000</f>
        <v>440.18349000000001</v>
      </c>
      <c r="Q23" s="211">
        <f>440680/1000</f>
        <v>440.68</v>
      </c>
      <c r="R23" s="211">
        <f>449546/1000</f>
        <v>449.54599999999999</v>
      </c>
      <c r="S23" s="211">
        <f>501627/1000</f>
        <v>501.62700000000001</v>
      </c>
      <c r="T23" s="211">
        <f>532415/1000</f>
        <v>532.41499999999996</v>
      </c>
      <c r="U23" s="219">
        <f>606746/1000</f>
        <v>606.74599999999998</v>
      </c>
      <c r="V23" s="221">
        <f>609509/1000</f>
        <v>609.50900000000001</v>
      </c>
      <c r="W23" s="222">
        <v>625.85</v>
      </c>
      <c r="X23" s="222"/>
      <c r="Y23" s="222"/>
    </row>
    <row r="24" spans="2:27" ht="14.25" x14ac:dyDescent="0.2">
      <c r="B24" s="184"/>
      <c r="C24" s="218" t="s">
        <v>116</v>
      </c>
      <c r="D24" s="197">
        <v>816552</v>
      </c>
      <c r="E24" s="197">
        <v>928409</v>
      </c>
      <c r="F24" s="197">
        <v>1013911</v>
      </c>
      <c r="G24" s="211">
        <v>756</v>
      </c>
      <c r="H24" s="211">
        <v>955</v>
      </c>
      <c r="I24" s="220"/>
      <c r="J24" s="220"/>
      <c r="K24" s="220"/>
      <c r="L24" s="220"/>
      <c r="M24" s="211">
        <f>(1849066/2)/1000</f>
        <v>924.53300000000002</v>
      </c>
      <c r="N24" s="211">
        <f>(2152734/2)/1000</f>
        <v>1076.367</v>
      </c>
      <c r="O24" s="211">
        <f>1175550/1000</f>
        <v>1175.55</v>
      </c>
      <c r="P24" s="223" t="s">
        <v>110</v>
      </c>
      <c r="Q24" s="223" t="s">
        <v>110</v>
      </c>
      <c r="R24" s="223" t="s">
        <v>110</v>
      </c>
      <c r="S24" s="224">
        <f>4217000/1000</f>
        <v>4217</v>
      </c>
      <c r="T24" s="224">
        <f>4914000/1000</f>
        <v>4914</v>
      </c>
      <c r="U24" s="224">
        <f>5129000/1000</f>
        <v>5129</v>
      </c>
      <c r="V24" s="211">
        <v>5567</v>
      </c>
      <c r="W24" s="211">
        <v>6176</v>
      </c>
      <c r="X24" s="211"/>
      <c r="Y24" s="211"/>
    </row>
    <row r="25" spans="2:27" ht="15" x14ac:dyDescent="0.25">
      <c r="B25" s="184"/>
      <c r="C25" s="218" t="s">
        <v>83</v>
      </c>
      <c r="D25" s="197"/>
      <c r="E25" s="197"/>
      <c r="F25" s="197"/>
      <c r="G25" s="211">
        <v>110.2</v>
      </c>
      <c r="H25" s="211">
        <v>1550.6</v>
      </c>
      <c r="I25" s="220"/>
      <c r="J25" s="220"/>
      <c r="K25" s="220"/>
      <c r="L25" s="220"/>
      <c r="M25" s="211">
        <f>1545711/1000</f>
        <v>1545.711</v>
      </c>
      <c r="N25" s="211">
        <f>1482464/1000</f>
        <v>1482.4639999999999</v>
      </c>
      <c r="O25" s="211">
        <f>1333073/1000</f>
        <v>1333.0730000000001</v>
      </c>
      <c r="P25" s="211">
        <f>1583379/1000</f>
        <v>1583.3789999999999</v>
      </c>
      <c r="Q25" s="223" t="s">
        <v>110</v>
      </c>
      <c r="R25" s="223" t="s">
        <v>110</v>
      </c>
      <c r="S25" s="211">
        <f>1322639/1000</f>
        <v>1322.6389999999999</v>
      </c>
      <c r="T25" s="223" t="s">
        <v>110</v>
      </c>
      <c r="U25" s="225">
        <f>1691012/1000</f>
        <v>1691.0119999999999</v>
      </c>
      <c r="V25" s="225">
        <f>1798606/1000</f>
        <v>1798.606</v>
      </c>
      <c r="W25" s="213">
        <v>1715.912</v>
      </c>
      <c r="X25" s="226">
        <v>1515.3</v>
      </c>
      <c r="Y25" s="226"/>
    </row>
    <row r="26" spans="2:27" x14ac:dyDescent="0.2">
      <c r="B26" s="184"/>
      <c r="C26" s="218" t="s">
        <v>96</v>
      </c>
      <c r="D26" s="197">
        <v>237844.23</v>
      </c>
      <c r="E26" s="197">
        <v>234246.15</v>
      </c>
      <c r="F26" s="197">
        <v>224759.98</v>
      </c>
      <c r="G26" s="211">
        <v>246.3</v>
      </c>
      <c r="H26" s="211">
        <v>290.2</v>
      </c>
      <c r="I26" s="220"/>
      <c r="J26" s="220"/>
      <c r="K26" s="220"/>
      <c r="L26" s="220"/>
      <c r="M26" s="211">
        <v>299.7</v>
      </c>
      <c r="N26" s="211">
        <f>405013/1000</f>
        <v>405.01299999999998</v>
      </c>
      <c r="O26" s="211">
        <f>432763/1000</f>
        <v>432.76299999999998</v>
      </c>
      <c r="P26" s="211">
        <f>455287/1000</f>
        <v>455.28699999999998</v>
      </c>
      <c r="Q26" s="211">
        <f>637038.11/1000</f>
        <v>637.03810999999996</v>
      </c>
      <c r="R26" s="211">
        <f>1033167.75/1000</f>
        <v>1033.1677500000001</v>
      </c>
      <c r="S26" s="211">
        <f>1007903/1000</f>
        <v>1007.903</v>
      </c>
      <c r="T26" s="211">
        <f>1183174/1000</f>
        <v>1183.174</v>
      </c>
      <c r="U26" s="225">
        <f>1524591/1000</f>
        <v>1524.5909999999999</v>
      </c>
      <c r="V26" s="225">
        <f>1381409/1000</f>
        <v>1381.4090000000001</v>
      </c>
      <c r="W26" s="213">
        <v>686.68237999999997</v>
      </c>
      <c r="X26" s="213"/>
      <c r="Y26" s="213"/>
      <c r="Z26" s="138"/>
      <c r="AA26" s="138"/>
    </row>
    <row r="27" spans="2:27" x14ac:dyDescent="0.2">
      <c r="B27" s="184"/>
      <c r="C27" s="227"/>
      <c r="D27" s="228"/>
      <c r="E27" s="229"/>
      <c r="F27" s="229"/>
      <c r="G27" s="230"/>
      <c r="H27" s="231"/>
      <c r="I27" s="230"/>
      <c r="J27" s="230"/>
      <c r="K27" s="230"/>
      <c r="L27" s="230"/>
      <c r="M27" s="231"/>
      <c r="N27" s="231"/>
      <c r="O27" s="231"/>
      <c r="P27" s="230"/>
      <c r="Q27" s="227"/>
      <c r="R27" s="227"/>
      <c r="S27" s="227"/>
      <c r="T27" s="220"/>
      <c r="U27" s="232"/>
      <c r="V27" s="184"/>
      <c r="W27" s="213"/>
      <c r="X27" s="213"/>
      <c r="Y27" s="213"/>
    </row>
    <row r="28" spans="2:27" x14ac:dyDescent="0.2">
      <c r="B28" s="184"/>
      <c r="C28" s="200" t="s">
        <v>3</v>
      </c>
      <c r="D28" s="201">
        <f t="shared" ref="D28:L28" si="3">D29+D30</f>
        <v>6779211</v>
      </c>
      <c r="E28" s="201">
        <f t="shared" si="3"/>
        <v>6772238</v>
      </c>
      <c r="F28" s="201">
        <f t="shared" si="3"/>
        <v>6552612</v>
      </c>
      <c r="G28" s="233">
        <f>G29+G30</f>
        <v>6632.9840000000004</v>
      </c>
      <c r="H28" s="233">
        <f t="shared" si="3"/>
        <v>10038.087</v>
      </c>
      <c r="I28" s="233" t="e">
        <f t="shared" si="3"/>
        <v>#REF!</v>
      </c>
      <c r="J28" s="233" t="e">
        <f t="shared" si="3"/>
        <v>#REF!</v>
      </c>
      <c r="K28" s="233" t="e">
        <f t="shared" si="3"/>
        <v>#REF!</v>
      </c>
      <c r="L28" s="233">
        <f t="shared" si="3"/>
        <v>0</v>
      </c>
      <c r="M28" s="233">
        <f>M29+M30</f>
        <v>9930.4749999999985</v>
      </c>
      <c r="N28" s="233">
        <f>N29+N30</f>
        <v>11255.095079999999</v>
      </c>
      <c r="O28" s="233">
        <f>O29+S2619</f>
        <v>9776.3389999999999</v>
      </c>
      <c r="P28" s="233">
        <f>P30</f>
        <v>1614.73794</v>
      </c>
      <c r="Q28" s="233">
        <f>(Q29)</f>
        <v>10749.148999999999</v>
      </c>
      <c r="R28" s="233">
        <f>(R29)</f>
        <v>17998.346000000001</v>
      </c>
      <c r="S28" s="233">
        <f t="shared" ref="S28:X28" si="4">SUM(S29:S30)</f>
        <v>22207.853999999999</v>
      </c>
      <c r="T28" s="233">
        <f t="shared" si="4"/>
        <v>23954.764999999999</v>
      </c>
      <c r="U28" s="233">
        <f t="shared" si="4"/>
        <v>25185.317999999999</v>
      </c>
      <c r="V28" s="234">
        <f t="shared" si="4"/>
        <v>24486.563000000002</v>
      </c>
      <c r="W28" s="205">
        <f t="shared" si="4"/>
        <v>24213.053460000003</v>
      </c>
      <c r="X28" s="205">
        <f t="shared" si="4"/>
        <v>0</v>
      </c>
      <c r="Y28" s="205"/>
    </row>
    <row r="29" spans="2:27" ht="14.25" x14ac:dyDescent="0.2">
      <c r="B29" s="184"/>
      <c r="C29" s="207" t="s">
        <v>5</v>
      </c>
      <c r="D29" s="197">
        <f>3284244+2581772</f>
        <v>5866016</v>
      </c>
      <c r="E29" s="197">
        <f>3609120+2223826</f>
        <v>5832946</v>
      </c>
      <c r="F29" s="197">
        <f>3340604+1944306</f>
        <v>5284910</v>
      </c>
      <c r="G29" s="220">
        <f>(3476028+2006737)/1000</f>
        <v>5482.7650000000003</v>
      </c>
      <c r="H29" s="211">
        <f>(4699089+4001625)/1000</f>
        <v>8700.7139999999999</v>
      </c>
      <c r="I29" s="220" t="e">
        <f>SUM(#REF!)</f>
        <v>#REF!</v>
      </c>
      <c r="J29" s="220" t="e">
        <f>SUM(#REF!)</f>
        <v>#REF!</v>
      </c>
      <c r="K29" s="220" t="e">
        <f>SUM(#REF!)</f>
        <v>#REF!</v>
      </c>
      <c r="L29" s="220"/>
      <c r="M29" s="211">
        <f>(4798054+4082781)/1000</f>
        <v>8880.8349999999991</v>
      </c>
      <c r="N29" s="211">
        <f>(5501338+4543930)/1000</f>
        <v>10045.268</v>
      </c>
      <c r="O29" s="211">
        <f>9776339/1000</f>
        <v>9776.3389999999999</v>
      </c>
      <c r="P29" s="204" t="s">
        <v>114</v>
      </c>
      <c r="Q29" s="211">
        <f>10749149/1000</f>
        <v>10749.148999999999</v>
      </c>
      <c r="R29" s="211">
        <f>17998346/1000</f>
        <v>17998.346000000001</v>
      </c>
      <c r="S29" s="211">
        <f>18583448/1000</f>
        <v>18583.448</v>
      </c>
      <c r="T29" s="235">
        <f>20310889/1000</f>
        <v>20310.888999999999</v>
      </c>
      <c r="U29" s="236">
        <v>21606.3</v>
      </c>
      <c r="V29" s="213">
        <v>20820.2</v>
      </c>
      <c r="W29" s="213">
        <v>19431.400000000001</v>
      </c>
      <c r="X29" s="213"/>
      <c r="Y29" s="213"/>
    </row>
    <row r="30" spans="2:27" ht="14.25" x14ac:dyDescent="0.2">
      <c r="B30" s="184"/>
      <c r="C30" s="207" t="s">
        <v>6</v>
      </c>
      <c r="D30" s="197">
        <f t="shared" ref="D30:L30" si="5">SUM(D31:D35)</f>
        <v>913195</v>
      </c>
      <c r="E30" s="197">
        <f t="shared" si="5"/>
        <v>939292</v>
      </c>
      <c r="F30" s="197">
        <f t="shared" si="5"/>
        <v>1267702</v>
      </c>
      <c r="G30" s="220">
        <f>SUM(G31:G35)</f>
        <v>1150.2190000000001</v>
      </c>
      <c r="H30" s="211">
        <f t="shared" si="5"/>
        <v>1337.373</v>
      </c>
      <c r="I30" s="220">
        <f t="shared" si="5"/>
        <v>0</v>
      </c>
      <c r="J30" s="220">
        <f t="shared" si="5"/>
        <v>0</v>
      </c>
      <c r="K30" s="220">
        <f t="shared" si="5"/>
        <v>0</v>
      </c>
      <c r="L30" s="220">
        <f t="shared" si="5"/>
        <v>0</v>
      </c>
      <c r="M30" s="220">
        <f>SUM(M31:M35)</f>
        <v>1049.6399999999999</v>
      </c>
      <c r="N30" s="211">
        <f>SUM(N31:N35)</f>
        <v>1209.82708</v>
      </c>
      <c r="O30" s="220">
        <f>SUM(O31:O35)</f>
        <v>1537.0638700000002</v>
      </c>
      <c r="P30" s="211">
        <f>SUM(P31:P35)</f>
        <v>1614.73794</v>
      </c>
      <c r="Q30" s="204" t="s">
        <v>114</v>
      </c>
      <c r="R30" s="204" t="s">
        <v>114</v>
      </c>
      <c r="S30" s="237">
        <f t="shared" ref="S30:X30" si="6">SUM(S31:S35)</f>
        <v>3624.4060000000004</v>
      </c>
      <c r="T30" s="237">
        <f t="shared" si="6"/>
        <v>3643.8759999999997</v>
      </c>
      <c r="U30" s="238">
        <f t="shared" si="6"/>
        <v>3579.018</v>
      </c>
      <c r="V30" s="239">
        <f t="shared" si="6"/>
        <v>3666.3629999999998</v>
      </c>
      <c r="W30" s="205">
        <f t="shared" si="6"/>
        <v>4781.6534599999995</v>
      </c>
      <c r="X30" s="205">
        <f t="shared" si="6"/>
        <v>0</v>
      </c>
      <c r="Y30" s="205"/>
    </row>
    <row r="31" spans="2:27" ht="14.25" x14ac:dyDescent="0.2">
      <c r="B31" s="184"/>
      <c r="C31" s="218" t="s">
        <v>82</v>
      </c>
      <c r="D31" s="197">
        <v>494195</v>
      </c>
      <c r="E31" s="197">
        <v>520141</v>
      </c>
      <c r="F31" s="197">
        <v>577435</v>
      </c>
      <c r="G31" s="211">
        <f>583219/1000</f>
        <v>583.21900000000005</v>
      </c>
      <c r="H31" s="211">
        <f>535173/1000</f>
        <v>535.173</v>
      </c>
      <c r="I31" s="240"/>
      <c r="J31" s="240"/>
      <c r="K31" s="240"/>
      <c r="L31" s="220"/>
      <c r="M31" s="204" t="s">
        <v>149</v>
      </c>
      <c r="N31" s="204" t="s">
        <v>149</v>
      </c>
      <c r="O31" s="204" t="s">
        <v>149</v>
      </c>
      <c r="P31" s="204" t="s">
        <v>149</v>
      </c>
      <c r="Q31" s="204" t="s">
        <v>114</v>
      </c>
      <c r="R31" s="204" t="s">
        <v>114</v>
      </c>
      <c r="S31" s="241">
        <f>1175314/1000</f>
        <v>1175.3140000000001</v>
      </c>
      <c r="T31" s="241">
        <f>954520/1000</f>
        <v>954.52</v>
      </c>
      <c r="U31" s="242">
        <f>529335/1000</f>
        <v>529.33500000000004</v>
      </c>
      <c r="V31" s="243">
        <f>615617/1000</f>
        <v>615.61699999999996</v>
      </c>
      <c r="W31" s="213">
        <v>866.9</v>
      </c>
      <c r="X31" s="213">
        <v>0</v>
      </c>
      <c r="Y31" s="213"/>
    </row>
    <row r="32" spans="2:27" ht="14.25" x14ac:dyDescent="0.2">
      <c r="B32" s="184"/>
      <c r="C32" s="218" t="s">
        <v>95</v>
      </c>
      <c r="D32" s="197">
        <v>419000</v>
      </c>
      <c r="E32" s="197">
        <v>419151</v>
      </c>
      <c r="F32" s="197">
        <v>554920</v>
      </c>
      <c r="G32" s="211">
        <f>(675000*0.84)/1000</f>
        <v>567</v>
      </c>
      <c r="H32" s="211">
        <f>(955000*0.84)/1000</f>
        <v>802.2</v>
      </c>
      <c r="I32" s="240"/>
      <c r="J32" s="240"/>
      <c r="K32" s="240"/>
      <c r="L32" s="220"/>
      <c r="M32" s="211">
        <f>(1013000*0.84)/1000</f>
        <v>850.92</v>
      </c>
      <c r="N32" s="211">
        <f>(1177662*0.84)/1000</f>
        <v>989.2360799999999</v>
      </c>
      <c r="O32" s="220">
        <f>1308893.87/1000</f>
        <v>1308.8938700000001</v>
      </c>
      <c r="P32" s="211">
        <f>1384813.03/1000</f>
        <v>1384.81303</v>
      </c>
      <c r="Q32" s="204" t="s">
        <v>114</v>
      </c>
      <c r="R32" s="211">
        <f>2280540/1000</f>
        <v>2280.54</v>
      </c>
      <c r="S32" s="241">
        <f>2136308/1000</f>
        <v>2136.308</v>
      </c>
      <c r="T32" s="241">
        <f>2456037/1000</f>
        <v>2456.0369999999998</v>
      </c>
      <c r="U32" s="244">
        <f>2834420/1000</f>
        <v>2834.42</v>
      </c>
      <c r="V32" s="245">
        <f>2817427/1000</f>
        <v>2817.4270000000001</v>
      </c>
      <c r="W32" s="213">
        <v>2872.5669199999998</v>
      </c>
      <c r="X32" s="213">
        <v>0</v>
      </c>
      <c r="Y32" s="213"/>
    </row>
    <row r="33" spans="2:25" ht="14.25" x14ac:dyDescent="0.2">
      <c r="B33" s="184"/>
      <c r="C33" s="218" t="s">
        <v>80</v>
      </c>
      <c r="D33" s="246" t="s">
        <v>79</v>
      </c>
      <c r="E33" s="246" t="s">
        <v>79</v>
      </c>
      <c r="F33" s="197">
        <v>135347</v>
      </c>
      <c r="G33" s="223"/>
      <c r="H33" s="240" t="s">
        <v>79</v>
      </c>
      <c r="I33" s="240"/>
      <c r="J33" s="240"/>
      <c r="K33" s="240"/>
      <c r="L33" s="220"/>
      <c r="M33" s="211">
        <f>198720/1000</f>
        <v>198.72</v>
      </c>
      <c r="N33" s="211">
        <f>(220591)/1000</f>
        <v>220.59100000000001</v>
      </c>
      <c r="O33" s="211">
        <f>228170/1000</f>
        <v>228.17</v>
      </c>
      <c r="P33" s="211">
        <f>229924.91/1000</f>
        <v>229.92491000000001</v>
      </c>
      <c r="Q33" s="204" t="s">
        <v>114</v>
      </c>
      <c r="R33" s="204" t="s">
        <v>114</v>
      </c>
      <c r="S33" s="241">
        <f>312784/1000</f>
        <v>312.78399999999999</v>
      </c>
      <c r="T33" s="241">
        <f>233319/1000</f>
        <v>233.31899999999999</v>
      </c>
      <c r="U33" s="244">
        <f>215263/1000</f>
        <v>215.26300000000001</v>
      </c>
      <c r="V33" s="245">
        <f>T33</f>
        <v>233.31899999999999</v>
      </c>
      <c r="W33" s="213">
        <v>285.65249</v>
      </c>
      <c r="X33" s="213">
        <v>0</v>
      </c>
      <c r="Y33" s="213"/>
    </row>
    <row r="34" spans="2:25" ht="12.75" customHeight="1" x14ac:dyDescent="0.2">
      <c r="B34" s="184"/>
      <c r="C34" s="247" t="s">
        <v>96</v>
      </c>
      <c r="D34" s="246"/>
      <c r="E34" s="197"/>
      <c r="F34" s="197"/>
      <c r="G34" s="211"/>
      <c r="H34" s="204"/>
      <c r="I34" s="204"/>
      <c r="J34" s="204"/>
      <c r="K34" s="204"/>
      <c r="L34" s="204"/>
      <c r="M34" s="204"/>
      <c r="N34" s="204"/>
      <c r="O34" s="204"/>
      <c r="P34" s="204"/>
      <c r="Q34" s="204"/>
      <c r="R34" s="204"/>
      <c r="S34" s="223" t="s">
        <v>110</v>
      </c>
      <c r="T34" s="223" t="s">
        <v>110</v>
      </c>
      <c r="U34" s="223" t="s">
        <v>110</v>
      </c>
      <c r="V34" s="223" t="s">
        <v>110</v>
      </c>
      <c r="W34" s="213">
        <v>756.53405000000009</v>
      </c>
      <c r="X34" s="213">
        <v>0</v>
      </c>
      <c r="Y34" s="213"/>
    </row>
    <row r="35" spans="2:25" ht="14.25" x14ac:dyDescent="0.2">
      <c r="B35" s="184"/>
      <c r="C35" s="218" t="s">
        <v>243</v>
      </c>
      <c r="D35" s="246"/>
      <c r="E35" s="246"/>
      <c r="F35" s="197"/>
      <c r="G35" s="211"/>
      <c r="H35" s="211"/>
      <c r="I35" s="220"/>
      <c r="J35" s="220"/>
      <c r="K35" s="220"/>
      <c r="L35" s="220"/>
      <c r="M35" s="211"/>
      <c r="N35" s="220"/>
      <c r="O35" s="211"/>
      <c r="P35" s="204"/>
      <c r="Q35" s="204"/>
      <c r="R35" s="204"/>
      <c r="S35" s="248"/>
      <c r="T35" s="248"/>
      <c r="U35" s="248"/>
      <c r="V35" s="245"/>
      <c r="W35" s="245"/>
      <c r="X35" s="245"/>
      <c r="Y35" s="245"/>
    </row>
    <row r="36" spans="2:25" x14ac:dyDescent="0.2">
      <c r="B36" s="184"/>
      <c r="C36" s="249" t="s">
        <v>242</v>
      </c>
      <c r="D36" s="196"/>
      <c r="E36" s="196"/>
      <c r="F36" s="196"/>
      <c r="G36" s="227"/>
      <c r="H36" s="250"/>
      <c r="I36" s="250"/>
      <c r="J36" s="250"/>
      <c r="K36" s="250"/>
      <c r="L36" s="230"/>
      <c r="M36" s="231"/>
      <c r="N36" s="231"/>
      <c r="O36" s="231"/>
      <c r="P36" s="230"/>
      <c r="Q36" s="227"/>
      <c r="R36" s="227"/>
      <c r="S36" s="251"/>
      <c r="T36" s="241"/>
      <c r="U36" s="252"/>
      <c r="V36" s="245"/>
      <c r="W36" s="245"/>
      <c r="X36" s="245"/>
      <c r="Y36" s="245"/>
    </row>
    <row r="37" spans="2:25" x14ac:dyDescent="0.2">
      <c r="B37" s="184"/>
      <c r="C37" s="249" t="s">
        <v>241</v>
      </c>
      <c r="D37" s="196"/>
      <c r="E37" s="196"/>
      <c r="F37" s="196"/>
      <c r="G37" s="227"/>
      <c r="H37" s="250"/>
      <c r="I37" s="250"/>
      <c r="J37" s="250"/>
      <c r="K37" s="250"/>
      <c r="L37" s="230"/>
      <c r="M37" s="231"/>
      <c r="N37" s="231"/>
      <c r="O37" s="231"/>
      <c r="P37" s="230"/>
      <c r="Q37" s="227"/>
      <c r="R37" s="227"/>
      <c r="S37" s="251"/>
      <c r="T37" s="241"/>
      <c r="U37" s="252"/>
      <c r="V37" s="245"/>
      <c r="W37" s="245"/>
      <c r="X37" s="245"/>
      <c r="Y37" s="245"/>
    </row>
    <row r="38" spans="2:25" x14ac:dyDescent="0.2">
      <c r="B38" s="184"/>
      <c r="C38" s="298"/>
      <c r="D38" s="229"/>
      <c r="E38" s="229"/>
      <c r="F38" s="229"/>
      <c r="G38" s="230"/>
      <c r="H38" s="230"/>
      <c r="I38" s="230"/>
      <c r="J38" s="230"/>
      <c r="K38" s="230"/>
      <c r="L38" s="230"/>
      <c r="M38" s="231"/>
      <c r="N38" s="231"/>
      <c r="O38" s="231"/>
      <c r="P38" s="230"/>
      <c r="Q38" s="227"/>
      <c r="R38" s="227"/>
      <c r="S38" s="251"/>
      <c r="T38" s="241"/>
      <c r="U38" s="252"/>
      <c r="V38" s="245"/>
      <c r="W38" s="245"/>
      <c r="X38" s="245"/>
      <c r="Y38" s="245"/>
    </row>
    <row r="39" spans="2:25" x14ac:dyDescent="0.2">
      <c r="B39" s="184"/>
      <c r="C39" s="200" t="s">
        <v>15</v>
      </c>
      <c r="D39" s="201">
        <f>487117+98117+334736</f>
        <v>919970</v>
      </c>
      <c r="E39" s="201">
        <f>480134+160570+254455</f>
        <v>895159</v>
      </c>
      <c r="F39" s="201">
        <f>467085+89806+296847</f>
        <v>853738</v>
      </c>
      <c r="G39" s="233">
        <f>(488495+89476+327693)/1000</f>
        <v>905.66399999999999</v>
      </c>
      <c r="H39" s="233">
        <f>(723036+178356+582522)/1000</f>
        <v>1483.914</v>
      </c>
      <c r="I39" s="253"/>
      <c r="J39" s="253"/>
      <c r="K39" s="253"/>
      <c r="L39" s="253"/>
      <c r="M39" s="233">
        <f>(758325+238346+542525)/1000</f>
        <v>1539.1959999999999</v>
      </c>
      <c r="N39" s="233">
        <f>(1034993+273114+477626)/1000</f>
        <v>1785.7329999999999</v>
      </c>
      <c r="O39" s="233">
        <f>1757868/1000</f>
        <v>1757.8679999999999</v>
      </c>
      <c r="P39" s="254" t="s">
        <v>146</v>
      </c>
      <c r="Q39" s="255">
        <f>2010639/1000</f>
        <v>2010.6389999999999</v>
      </c>
      <c r="R39" s="255">
        <f>2801112/1000</f>
        <v>2801.1120000000001</v>
      </c>
      <c r="S39" s="256">
        <f>3167438/1000</f>
        <v>3167.4380000000001</v>
      </c>
      <c r="T39" s="238">
        <f>3783841/1000</f>
        <v>3783.8409999999999</v>
      </c>
      <c r="U39" s="257">
        <v>4427.8999999999996</v>
      </c>
      <c r="V39" s="258">
        <v>4698.2</v>
      </c>
      <c r="W39" s="258">
        <v>3790.8</v>
      </c>
      <c r="X39" s="258"/>
      <c r="Y39" s="258"/>
    </row>
    <row r="40" spans="2:25" ht="12" customHeight="1" x14ac:dyDescent="0.2">
      <c r="B40" s="184"/>
      <c r="C40" s="196"/>
      <c r="D40" s="229"/>
      <c r="E40" s="229"/>
      <c r="F40" s="229"/>
      <c r="G40" s="230"/>
      <c r="H40" s="230"/>
      <c r="I40" s="230"/>
      <c r="J40" s="230"/>
      <c r="K40" s="230"/>
      <c r="L40" s="230"/>
      <c r="M40" s="231"/>
      <c r="N40" s="231"/>
      <c r="O40" s="231"/>
      <c r="P40" s="240"/>
      <c r="Q40" s="227"/>
      <c r="R40" s="227"/>
      <c r="S40" s="251"/>
      <c r="T40" s="259"/>
      <c r="U40" s="252"/>
      <c r="V40" s="245"/>
      <c r="W40" s="245"/>
      <c r="X40" s="245"/>
      <c r="Y40" s="245"/>
    </row>
    <row r="41" spans="2:25" x14ac:dyDescent="0.2">
      <c r="B41" s="184"/>
      <c r="C41" s="200" t="s">
        <v>122</v>
      </c>
      <c r="D41" s="201">
        <f t="shared" ref="D41:M41" si="7">SUM(D42:D44)</f>
        <v>2050017</v>
      </c>
      <c r="E41" s="201">
        <f t="shared" si="7"/>
        <v>2163591</v>
      </c>
      <c r="F41" s="201">
        <f t="shared" si="7"/>
        <v>2155711</v>
      </c>
      <c r="G41" s="233">
        <f>SUM(G42:G44)</f>
        <v>2197.6390000000001</v>
      </c>
      <c r="H41" s="233">
        <f t="shared" si="7"/>
        <v>2305.4160000000002</v>
      </c>
      <c r="I41" s="233">
        <f t="shared" si="7"/>
        <v>0</v>
      </c>
      <c r="J41" s="233">
        <f t="shared" si="7"/>
        <v>0</v>
      </c>
      <c r="K41" s="233">
        <f t="shared" si="7"/>
        <v>0</v>
      </c>
      <c r="L41" s="233">
        <f t="shared" si="7"/>
        <v>0</v>
      </c>
      <c r="M41" s="233">
        <f t="shared" si="7"/>
        <v>2499.8020000000001</v>
      </c>
      <c r="N41" s="233">
        <f t="shared" ref="N41:S41" si="8">SUM(N42:N44)</f>
        <v>2626.94</v>
      </c>
      <c r="O41" s="233">
        <f t="shared" si="8"/>
        <v>3056.0119999999997</v>
      </c>
      <c r="P41" s="233">
        <f t="shared" si="8"/>
        <v>1621.3820000000001</v>
      </c>
      <c r="Q41" s="233">
        <f t="shared" si="8"/>
        <v>809.18100000000004</v>
      </c>
      <c r="R41" s="233">
        <f t="shared" si="8"/>
        <v>393.51799999999997</v>
      </c>
      <c r="S41" s="260">
        <f t="shared" si="8"/>
        <v>543.15300000000002</v>
      </c>
      <c r="T41" s="260">
        <f>SUM(T42:T44)</f>
        <v>461.00799999999998</v>
      </c>
      <c r="U41" s="238">
        <f>SUM(U42:U44)</f>
        <v>761.30499999999995</v>
      </c>
      <c r="V41" s="238">
        <f>SUM(V42:V44)</f>
        <v>813.93100000000004</v>
      </c>
      <c r="W41" s="238">
        <f>SUM(W42:W44)</f>
        <v>983.55700000000002</v>
      </c>
      <c r="X41" s="238">
        <f>SUM(X42:X44)</f>
        <v>1012.3</v>
      </c>
      <c r="Y41" s="238"/>
    </row>
    <row r="42" spans="2:25" ht="14.25" outlineLevel="1" x14ac:dyDescent="0.2">
      <c r="B42" s="184"/>
      <c r="C42" s="218" t="s">
        <v>176</v>
      </c>
      <c r="D42" s="197">
        <v>1322306</v>
      </c>
      <c r="E42" s="197">
        <v>1388290</v>
      </c>
      <c r="F42" s="197">
        <v>1698251</v>
      </c>
      <c r="G42" s="261">
        <f>1781583/1000</f>
        <v>1781.5830000000001</v>
      </c>
      <c r="H42" s="211">
        <f>1806384/1000</f>
        <v>1806.384</v>
      </c>
      <c r="I42" s="227"/>
      <c r="J42" s="227"/>
      <c r="K42" s="227"/>
      <c r="L42" s="227"/>
      <c r="M42" s="211">
        <f>1993554/1000</f>
        <v>1993.5540000000001</v>
      </c>
      <c r="N42" s="211">
        <f>2000000/1000</f>
        <v>2000</v>
      </c>
      <c r="O42" s="211">
        <f>2234357/1000</f>
        <v>2234.357</v>
      </c>
      <c r="P42" s="204" t="s">
        <v>114</v>
      </c>
      <c r="Q42" s="204" t="s">
        <v>149</v>
      </c>
      <c r="R42" s="204" t="s">
        <v>149</v>
      </c>
      <c r="S42" s="248" t="s">
        <v>149</v>
      </c>
      <c r="T42" s="248" t="s">
        <v>149</v>
      </c>
      <c r="U42" s="262" t="s">
        <v>149</v>
      </c>
      <c r="V42" s="262" t="s">
        <v>149</v>
      </c>
      <c r="W42" s="262" t="s">
        <v>149</v>
      </c>
      <c r="X42" s="262" t="s">
        <v>149</v>
      </c>
      <c r="Y42" s="262"/>
    </row>
    <row r="43" spans="2:25" outlineLevel="1" x14ac:dyDescent="0.2">
      <c r="B43" s="184"/>
      <c r="C43" s="218" t="s">
        <v>84</v>
      </c>
      <c r="D43" s="197">
        <v>400451</v>
      </c>
      <c r="E43" s="197">
        <v>437768</v>
      </c>
      <c r="F43" s="197">
        <v>457460</v>
      </c>
      <c r="G43" s="261">
        <f>416056/1000</f>
        <v>416.05599999999998</v>
      </c>
      <c r="H43" s="211">
        <f>499032/1000</f>
        <v>499.03199999999998</v>
      </c>
      <c r="I43" s="253"/>
      <c r="J43" s="253"/>
      <c r="K43" s="253"/>
      <c r="L43" s="253"/>
      <c r="M43" s="211">
        <f>506248/1000</f>
        <v>506.24799999999999</v>
      </c>
      <c r="N43" s="211">
        <f>626940/1000</f>
        <v>626.94000000000005</v>
      </c>
      <c r="O43" s="211">
        <f>821655/1000</f>
        <v>821.65499999999997</v>
      </c>
      <c r="P43" s="211">
        <f>909106/1000</f>
        <v>909.10599999999999</v>
      </c>
      <c r="Q43" s="211">
        <f>809181/1000</f>
        <v>809.18100000000004</v>
      </c>
      <c r="R43" s="211">
        <f>393518/1000</f>
        <v>393.51799999999997</v>
      </c>
      <c r="S43" s="241">
        <f>543153/1000</f>
        <v>543.15300000000002</v>
      </c>
      <c r="T43" s="241">
        <f>461008/1000</f>
        <v>461.00799999999998</v>
      </c>
      <c r="U43" s="244">
        <f>761305/1000</f>
        <v>761.30499999999995</v>
      </c>
      <c r="V43" s="245">
        <f>813931/1000</f>
        <v>813.93100000000004</v>
      </c>
      <c r="W43" s="263">
        <v>983.55700000000002</v>
      </c>
      <c r="X43" s="263">
        <v>1012.3</v>
      </c>
      <c r="Y43" s="263"/>
    </row>
    <row r="44" spans="2:25" ht="14.25" outlineLevel="1" x14ac:dyDescent="0.2">
      <c r="B44" s="184"/>
      <c r="C44" s="218" t="s">
        <v>85</v>
      </c>
      <c r="D44" s="197">
        <v>327260</v>
      </c>
      <c r="E44" s="197">
        <v>337533</v>
      </c>
      <c r="F44" s="246" t="s">
        <v>79</v>
      </c>
      <c r="G44" s="204" t="s">
        <v>112</v>
      </c>
      <c r="H44" s="204" t="s">
        <v>112</v>
      </c>
      <c r="I44" s="204" t="s">
        <v>112</v>
      </c>
      <c r="J44" s="204" t="s">
        <v>112</v>
      </c>
      <c r="K44" s="204" t="s">
        <v>112</v>
      </c>
      <c r="L44" s="204" t="s">
        <v>112</v>
      </c>
      <c r="M44" s="204" t="s">
        <v>112</v>
      </c>
      <c r="N44" s="204" t="s">
        <v>112</v>
      </c>
      <c r="O44" s="204" t="s">
        <v>112</v>
      </c>
      <c r="P44" s="211">
        <f>712276/1000</f>
        <v>712.27599999999995</v>
      </c>
      <c r="Q44" s="204" t="s">
        <v>149</v>
      </c>
      <c r="R44" s="204" t="s">
        <v>149</v>
      </c>
      <c r="S44" s="248" t="s">
        <v>149</v>
      </c>
      <c r="T44" s="248" t="s">
        <v>149</v>
      </c>
      <c r="U44" s="262" t="s">
        <v>149</v>
      </c>
      <c r="V44" s="262" t="s">
        <v>149</v>
      </c>
      <c r="W44" s="262" t="s">
        <v>149</v>
      </c>
      <c r="X44" s="262" t="s">
        <v>149</v>
      </c>
      <c r="Y44" s="262"/>
    </row>
    <row r="45" spans="2:25" ht="14.25" x14ac:dyDescent="0.2">
      <c r="B45" s="184"/>
      <c r="C45" s="264"/>
      <c r="D45" s="265"/>
      <c r="E45" s="265"/>
      <c r="F45" s="265"/>
      <c r="G45" s="266"/>
      <c r="H45" s="266"/>
      <c r="I45" s="265"/>
      <c r="J45" s="265"/>
      <c r="K45" s="265"/>
      <c r="L45" s="265"/>
      <c r="M45" s="266"/>
      <c r="N45" s="266"/>
      <c r="O45" s="266"/>
      <c r="P45" s="267"/>
      <c r="Q45" s="267"/>
      <c r="R45" s="267"/>
      <c r="S45" s="268"/>
      <c r="T45" s="268"/>
      <c r="U45" s="268"/>
      <c r="V45" s="268"/>
      <c r="W45" s="269"/>
      <c r="X45" s="269"/>
      <c r="Y45" s="269"/>
    </row>
    <row r="46" spans="2:25" x14ac:dyDescent="0.2">
      <c r="B46" s="184"/>
      <c r="C46" s="270"/>
      <c r="D46" s="201"/>
      <c r="E46" s="201"/>
      <c r="F46" s="201"/>
      <c r="G46" s="201"/>
      <c r="H46" s="201"/>
      <c r="I46" s="201"/>
      <c r="J46" s="201"/>
      <c r="K46" s="201"/>
      <c r="L46" s="196"/>
      <c r="M46" s="197"/>
      <c r="N46" s="197"/>
      <c r="O46" s="197"/>
      <c r="P46" s="196"/>
      <c r="Q46" s="271"/>
      <c r="R46" s="271"/>
      <c r="S46" s="272"/>
      <c r="T46" s="272"/>
      <c r="U46" s="272"/>
      <c r="V46" s="272"/>
      <c r="W46" s="272"/>
      <c r="X46" s="252"/>
      <c r="Y46" s="252"/>
    </row>
    <row r="47" spans="2:25" x14ac:dyDescent="0.2">
      <c r="B47" s="184"/>
      <c r="C47" s="270"/>
      <c r="D47" s="201"/>
      <c r="E47" s="201"/>
      <c r="F47" s="201"/>
      <c r="G47" s="201"/>
      <c r="H47" s="201"/>
      <c r="I47" s="201"/>
      <c r="J47" s="201"/>
      <c r="K47" s="201"/>
      <c r="L47" s="196"/>
      <c r="M47" s="197"/>
      <c r="N47" s="197"/>
      <c r="O47" s="197"/>
      <c r="P47" s="196"/>
      <c r="Q47" s="271"/>
      <c r="R47" s="271"/>
      <c r="S47" s="272"/>
      <c r="T47" s="272"/>
      <c r="U47" s="272"/>
      <c r="V47" s="272"/>
      <c r="W47" s="272"/>
      <c r="X47" s="252"/>
      <c r="Y47" s="252"/>
    </row>
    <row r="48" spans="2:25" ht="15.75" x14ac:dyDescent="0.25">
      <c r="B48" s="273"/>
      <c r="C48" s="274" t="s">
        <v>19</v>
      </c>
      <c r="D48" s="275"/>
      <c r="E48" s="275"/>
      <c r="F48" s="275"/>
      <c r="G48" s="275"/>
      <c r="H48" s="275"/>
      <c r="I48" s="275"/>
      <c r="J48" s="275"/>
      <c r="K48" s="275"/>
      <c r="L48" s="190"/>
      <c r="M48" s="276"/>
      <c r="N48" s="276"/>
      <c r="O48" s="276"/>
      <c r="P48" s="190"/>
      <c r="Q48" s="271"/>
      <c r="R48" s="271"/>
      <c r="S48" s="272"/>
      <c r="T48" s="272"/>
      <c r="U48" s="272"/>
      <c r="V48" s="272"/>
      <c r="W48" s="272"/>
      <c r="X48" s="252"/>
      <c r="Y48" s="252"/>
    </row>
    <row r="49" spans="2:25" ht="15.75" x14ac:dyDescent="0.25">
      <c r="B49" s="273"/>
      <c r="C49" s="274"/>
      <c r="D49" s="275"/>
      <c r="E49" s="275"/>
      <c r="F49" s="275"/>
      <c r="G49" s="275"/>
      <c r="H49" s="275"/>
      <c r="I49" s="275"/>
      <c r="J49" s="275"/>
      <c r="K49" s="275"/>
      <c r="L49" s="190"/>
      <c r="M49" s="276"/>
      <c r="N49" s="276"/>
      <c r="O49" s="276"/>
      <c r="P49" s="190"/>
      <c r="Q49" s="271"/>
      <c r="R49" s="271"/>
      <c r="S49" s="272"/>
      <c r="T49" s="272"/>
      <c r="U49" s="272"/>
      <c r="V49" s="272"/>
      <c r="W49" s="272"/>
      <c r="X49" s="252"/>
      <c r="Y49" s="252"/>
    </row>
    <row r="50" spans="2:25" ht="14.25" x14ac:dyDescent="0.2">
      <c r="B50" s="184"/>
      <c r="C50" s="277" t="s">
        <v>25</v>
      </c>
      <c r="D50" s="278">
        <f t="shared" ref="D50:K50" si="9">SUM(D52,D54)</f>
        <v>1437822</v>
      </c>
      <c r="E50" s="278">
        <f t="shared" si="9"/>
        <v>1313556.26</v>
      </c>
      <c r="F50" s="278">
        <f t="shared" si="9"/>
        <v>1304599.1599999999</v>
      </c>
      <c r="G50" s="278">
        <f t="shared" si="9"/>
        <v>1383.3630000000001</v>
      </c>
      <c r="H50" s="278">
        <f t="shared" si="9"/>
        <v>1902.6558000000002</v>
      </c>
      <c r="I50" s="278">
        <f t="shared" si="9"/>
        <v>0</v>
      </c>
      <c r="J50" s="278">
        <f t="shared" si="9"/>
        <v>0</v>
      </c>
      <c r="K50" s="278">
        <f t="shared" si="9"/>
        <v>0</v>
      </c>
      <c r="L50" s="190"/>
      <c r="M50" s="278">
        <f>SUM(M52,M54)</f>
        <v>2094.0245</v>
      </c>
      <c r="N50" s="278">
        <f>SUM(N52,N54)</f>
        <v>2209.4236500000002</v>
      </c>
      <c r="O50" s="278">
        <f>SUM(O52,O54)</f>
        <v>2196.0070000000001</v>
      </c>
      <c r="P50" s="279" t="s">
        <v>112</v>
      </c>
      <c r="Q50" s="280">
        <f>SUM(Q52,Q54)</f>
        <v>2454.0949999999998</v>
      </c>
      <c r="R50" s="281">
        <f>SUM(R52,R54)</f>
        <v>2913.221</v>
      </c>
      <c r="S50" s="282">
        <f>SUM(S52,S54)</f>
        <v>3241.6840000000002</v>
      </c>
      <c r="T50" s="282">
        <f>SUM(T52,T54)</f>
        <v>3812.4709999999995</v>
      </c>
      <c r="U50" s="282">
        <v>4501.8</v>
      </c>
      <c r="V50" s="282">
        <f>SUM(V52,V54)</f>
        <v>6841.1</v>
      </c>
      <c r="W50" s="282">
        <f>SUM(W52,W54)</f>
        <v>4436.8999999999996</v>
      </c>
      <c r="X50" s="213">
        <v>0</v>
      </c>
      <c r="Y50" s="213"/>
    </row>
    <row r="51" spans="2:25" x14ac:dyDescent="0.2">
      <c r="B51" s="184"/>
      <c r="C51" s="277"/>
      <c r="D51" s="283"/>
      <c r="E51" s="284"/>
      <c r="F51" s="276"/>
      <c r="G51" s="276"/>
      <c r="H51" s="276"/>
      <c r="I51" s="284"/>
      <c r="J51" s="284"/>
      <c r="K51" s="284"/>
      <c r="L51" s="190"/>
      <c r="M51" s="276"/>
      <c r="N51" s="276"/>
      <c r="O51" s="276"/>
      <c r="P51" s="190"/>
      <c r="Q51" s="271"/>
      <c r="R51" s="271"/>
      <c r="S51" s="272"/>
      <c r="T51" s="272"/>
      <c r="U51" s="272"/>
      <c r="V51" s="272"/>
      <c r="W51" s="252"/>
      <c r="X51" s="252"/>
      <c r="Y51" s="252"/>
    </row>
    <row r="52" spans="2:25" ht="14.25" x14ac:dyDescent="0.2">
      <c r="B52" s="184"/>
      <c r="C52" s="200" t="s">
        <v>2</v>
      </c>
      <c r="D52" s="201">
        <f>614506</f>
        <v>614506</v>
      </c>
      <c r="E52" s="201">
        <f>549854.14</f>
        <v>549854.14</v>
      </c>
      <c r="F52" s="201">
        <f>570814.84</f>
        <v>570814.84</v>
      </c>
      <c r="G52" s="203">
        <f>601648/1000</f>
        <v>601.64800000000002</v>
      </c>
      <c r="H52" s="203">
        <f>814837.68/1000</f>
        <v>814.83768000000009</v>
      </c>
      <c r="I52" s="201"/>
      <c r="J52" s="201"/>
      <c r="K52" s="201"/>
      <c r="L52" s="285"/>
      <c r="M52" s="203">
        <f>915060.65/1000</f>
        <v>915.06065000000001</v>
      </c>
      <c r="N52" s="203">
        <f>969541.2/1000</f>
        <v>969.5412</v>
      </c>
      <c r="O52" s="203">
        <f>938767/1000</f>
        <v>938.76700000000005</v>
      </c>
      <c r="P52" s="204" t="s">
        <v>112</v>
      </c>
      <c r="Q52" s="280">
        <f>1003257/1000</f>
        <v>1003.2569999999999</v>
      </c>
      <c r="R52" s="286">
        <f>1120482/1000</f>
        <v>1120.482</v>
      </c>
      <c r="S52" s="287">
        <f>1195709/1000</f>
        <v>1195.7090000000001</v>
      </c>
      <c r="T52" s="258">
        <f>1461048/1000</f>
        <v>1461.048</v>
      </c>
      <c r="U52" s="258">
        <v>1825.4</v>
      </c>
      <c r="V52" s="288">
        <v>3146.8</v>
      </c>
      <c r="W52" s="288">
        <v>1870.8</v>
      </c>
      <c r="X52" s="213">
        <v>0</v>
      </c>
      <c r="Y52" s="213"/>
    </row>
    <row r="53" spans="2:25" ht="14.25" x14ac:dyDescent="0.2">
      <c r="B53" s="184"/>
      <c r="C53" s="196"/>
      <c r="D53" s="201"/>
      <c r="E53" s="201"/>
      <c r="F53" s="201"/>
      <c r="G53" s="201"/>
      <c r="H53" s="201"/>
      <c r="I53" s="201"/>
      <c r="J53" s="201"/>
      <c r="K53" s="201"/>
      <c r="L53" s="285"/>
      <c r="M53" s="285"/>
      <c r="N53" s="285"/>
      <c r="O53" s="285"/>
      <c r="P53" s="204"/>
      <c r="Q53" s="280"/>
      <c r="R53" s="289"/>
      <c r="S53" s="290"/>
      <c r="T53" s="245"/>
      <c r="U53" s="245"/>
      <c r="V53" s="291"/>
      <c r="W53" s="291"/>
      <c r="X53" s="291"/>
      <c r="Y53" s="291"/>
    </row>
    <row r="54" spans="2:25" ht="14.25" x14ac:dyDescent="0.2">
      <c r="B54" s="184"/>
      <c r="C54" s="200" t="s">
        <v>3</v>
      </c>
      <c r="D54" s="201">
        <f>823316</f>
        <v>823316</v>
      </c>
      <c r="E54" s="201">
        <f>763702.12</f>
        <v>763702.12</v>
      </c>
      <c r="F54" s="201">
        <f>733784.32</f>
        <v>733784.32</v>
      </c>
      <c r="G54" s="203">
        <f>781715/1000</f>
        <v>781.71500000000003</v>
      </c>
      <c r="H54" s="203">
        <f>1087818.12/1000</f>
        <v>1087.8181200000001</v>
      </c>
      <c r="I54" s="203"/>
      <c r="J54" s="203"/>
      <c r="K54" s="203"/>
      <c r="L54" s="292"/>
      <c r="M54" s="203">
        <f>1178963.85/1000</f>
        <v>1178.9638500000001</v>
      </c>
      <c r="N54" s="203">
        <f>1239882.45/1000</f>
        <v>1239.8824500000001</v>
      </c>
      <c r="O54" s="203">
        <f>1257240/1000</f>
        <v>1257.24</v>
      </c>
      <c r="P54" s="204" t="s">
        <v>112</v>
      </c>
      <c r="Q54" s="280">
        <f>1450838/1000</f>
        <v>1450.838</v>
      </c>
      <c r="R54" s="286">
        <f>1792739/1000</f>
        <v>1792.739</v>
      </c>
      <c r="S54" s="287">
        <f>2045975/1000</f>
        <v>2045.9749999999999</v>
      </c>
      <c r="T54" s="258">
        <f>2351423/1000</f>
        <v>2351.4229999999998</v>
      </c>
      <c r="U54" s="258">
        <v>2676.4</v>
      </c>
      <c r="V54" s="288">
        <v>3694.3</v>
      </c>
      <c r="W54" s="288">
        <v>2566.1</v>
      </c>
      <c r="X54" s="213">
        <v>0</v>
      </c>
      <c r="Y54" s="213"/>
    </row>
    <row r="55" spans="2:25" ht="14.25" x14ac:dyDescent="0.2">
      <c r="B55" s="184"/>
      <c r="C55" s="293"/>
      <c r="D55" s="293"/>
      <c r="E55" s="293"/>
      <c r="F55" s="293"/>
      <c r="G55" s="293"/>
      <c r="H55" s="293"/>
      <c r="I55" s="293"/>
      <c r="J55" s="293"/>
      <c r="K55" s="293"/>
      <c r="L55" s="293"/>
      <c r="M55" s="293"/>
      <c r="N55" s="293"/>
      <c r="O55" s="293"/>
      <c r="P55" s="267"/>
      <c r="Q55" s="294"/>
      <c r="R55" s="295"/>
      <c r="S55" s="296"/>
      <c r="T55" s="297"/>
      <c r="U55" s="297"/>
      <c r="V55" s="269"/>
      <c r="W55" s="269"/>
      <c r="X55" s="269"/>
      <c r="Y55" s="269"/>
    </row>
    <row r="56" spans="2:25" ht="14.25" x14ac:dyDescent="0.2">
      <c r="B56" s="184"/>
      <c r="C56" s="196" t="s">
        <v>230</v>
      </c>
      <c r="D56" s="278"/>
      <c r="E56" s="278"/>
      <c r="F56" s="278"/>
      <c r="G56" s="278"/>
      <c r="H56" s="278"/>
      <c r="I56" s="278"/>
      <c r="J56" s="278"/>
      <c r="K56" s="278"/>
      <c r="L56" s="190"/>
      <c r="M56" s="278"/>
      <c r="N56" s="278"/>
      <c r="O56" s="278"/>
      <c r="P56" s="204"/>
      <c r="Q56" s="271"/>
      <c r="R56" s="271"/>
      <c r="S56" s="271"/>
      <c r="T56" s="271"/>
      <c r="U56" s="271"/>
      <c r="V56" s="271"/>
      <c r="W56" s="271"/>
      <c r="X56" s="196"/>
      <c r="Y56" s="132"/>
    </row>
    <row r="57" spans="2:25" ht="14.25" x14ac:dyDescent="0.2">
      <c r="C57" s="132"/>
      <c r="D57" s="144"/>
      <c r="E57" s="144"/>
      <c r="F57" s="144"/>
      <c r="G57" s="144"/>
      <c r="H57" s="144"/>
      <c r="I57" s="144"/>
      <c r="J57" s="144"/>
      <c r="K57" s="144"/>
      <c r="L57" s="131"/>
      <c r="M57" s="144"/>
      <c r="N57" s="144"/>
      <c r="O57" s="144"/>
      <c r="P57" s="137"/>
      <c r="Q57" s="139"/>
      <c r="R57" s="139"/>
      <c r="S57" s="139"/>
      <c r="T57" s="139"/>
      <c r="U57" s="139"/>
      <c r="V57" s="139"/>
      <c r="W57" s="139"/>
      <c r="X57" s="132"/>
      <c r="Y57" s="132"/>
    </row>
    <row r="58" spans="2:25" ht="14.25" x14ac:dyDescent="0.2">
      <c r="C58" s="132"/>
      <c r="D58" s="144"/>
      <c r="E58" s="144"/>
      <c r="F58" s="144"/>
      <c r="G58" s="144"/>
      <c r="H58" s="144"/>
      <c r="I58" s="144"/>
      <c r="J58" s="144"/>
      <c r="K58" s="144"/>
      <c r="L58" s="131"/>
      <c r="M58" s="144"/>
      <c r="N58" s="144"/>
      <c r="O58" s="144"/>
      <c r="P58" s="137"/>
      <c r="Q58" s="139"/>
      <c r="R58" s="139"/>
      <c r="S58" s="139"/>
      <c r="T58" s="139"/>
      <c r="U58" s="139"/>
      <c r="V58" s="139"/>
      <c r="W58" s="139"/>
      <c r="X58" s="132"/>
      <c r="Y58" s="132"/>
    </row>
    <row r="59" spans="2:25" ht="14.25" x14ac:dyDescent="0.2">
      <c r="B59" s="145"/>
      <c r="C59" s="146"/>
      <c r="D59" s="144"/>
      <c r="E59" s="144"/>
      <c r="F59" s="144"/>
      <c r="G59" s="144"/>
      <c r="H59" s="144"/>
      <c r="I59" s="144"/>
      <c r="J59" s="144"/>
      <c r="K59" s="144"/>
      <c r="L59" s="131"/>
      <c r="M59" s="144"/>
      <c r="N59" s="144"/>
      <c r="O59" s="144"/>
      <c r="P59" s="137"/>
      <c r="Q59" s="139"/>
      <c r="R59" s="139"/>
      <c r="S59" s="139"/>
      <c r="T59" s="139"/>
      <c r="U59" s="139"/>
      <c r="V59" s="139"/>
      <c r="W59" s="139"/>
      <c r="X59" s="132"/>
      <c r="Y59" s="132"/>
    </row>
    <row r="60" spans="2:25" ht="14.25" x14ac:dyDescent="0.2">
      <c r="B60" s="145"/>
      <c r="C60" s="146"/>
      <c r="D60" s="144"/>
      <c r="E60" s="144"/>
      <c r="F60" s="144"/>
      <c r="G60" s="144"/>
      <c r="H60" s="144"/>
      <c r="I60" s="144"/>
      <c r="J60" s="144"/>
      <c r="K60" s="144"/>
      <c r="L60" s="131"/>
      <c r="M60" s="144"/>
      <c r="N60" s="144"/>
      <c r="O60" s="144"/>
      <c r="P60" s="137"/>
      <c r="Q60" s="139"/>
      <c r="R60" s="139"/>
      <c r="S60" s="139"/>
      <c r="T60" s="139"/>
      <c r="U60" s="139"/>
      <c r="V60" s="139"/>
      <c r="W60" s="139"/>
      <c r="X60" s="132"/>
      <c r="Y60" s="132"/>
    </row>
    <row r="61" spans="2:25" ht="14.25" x14ac:dyDescent="0.2">
      <c r="C61" s="141"/>
      <c r="D61" s="144"/>
      <c r="E61" s="144"/>
      <c r="F61" s="144"/>
      <c r="G61" s="144"/>
      <c r="H61" s="144"/>
      <c r="I61" s="144"/>
      <c r="J61" s="144"/>
      <c r="K61" s="144"/>
      <c r="L61" s="131"/>
      <c r="M61" s="144"/>
      <c r="N61" s="144"/>
      <c r="O61" s="144"/>
      <c r="P61" s="137"/>
      <c r="Q61" s="139"/>
      <c r="R61" s="139"/>
      <c r="S61" s="139"/>
      <c r="T61" s="139"/>
      <c r="U61" s="139"/>
      <c r="V61" s="139"/>
      <c r="W61" s="139"/>
      <c r="X61" s="132"/>
      <c r="Y61" s="132"/>
    </row>
    <row r="69" spans="2:35" x14ac:dyDescent="0.2">
      <c r="U69"/>
    </row>
    <row r="71" spans="2:35" ht="9" customHeight="1" x14ac:dyDescent="0.2">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2:35" x14ac:dyDescent="0.2">
      <c r="B72" s="723">
        <v>33</v>
      </c>
      <c r="C72" s="723"/>
      <c r="D72" s="723"/>
      <c r="E72" s="723"/>
      <c r="F72" s="723"/>
      <c r="G72" s="723"/>
      <c r="H72" s="723"/>
      <c r="I72" s="723"/>
      <c r="J72" s="723"/>
      <c r="K72" s="723"/>
      <c r="L72" s="723"/>
      <c r="M72" s="723"/>
      <c r="N72" s="723"/>
      <c r="O72" s="723"/>
      <c r="P72" s="723"/>
      <c r="Q72" s="723"/>
      <c r="R72" s="723"/>
      <c r="S72" s="723"/>
      <c r="T72" s="723"/>
      <c r="U72" s="723"/>
      <c r="V72" s="723"/>
      <c r="W72" s="723"/>
      <c r="X72" s="723"/>
      <c r="Y72" s="18"/>
      <c r="Z72" s="147"/>
      <c r="AA72" s="147"/>
      <c r="AB72" s="147"/>
      <c r="AC72" s="147"/>
      <c r="AD72" s="147"/>
      <c r="AE72" s="147"/>
      <c r="AF72" s="147"/>
      <c r="AG72" s="147"/>
    </row>
    <row r="73" spans="2:35" ht="14.25" x14ac:dyDescent="0.2">
      <c r="C73" s="141"/>
      <c r="D73" s="144"/>
      <c r="E73" s="144"/>
      <c r="F73" s="144"/>
      <c r="G73" s="144"/>
      <c r="H73" s="144"/>
      <c r="I73" s="144"/>
      <c r="J73" s="144"/>
      <c r="K73" s="144"/>
      <c r="L73" s="131"/>
      <c r="M73" s="144"/>
      <c r="N73" s="144"/>
      <c r="O73" s="144"/>
      <c r="P73" s="137"/>
      <c r="Q73" s="139"/>
      <c r="R73" s="139"/>
      <c r="S73" s="139"/>
      <c r="T73" s="139"/>
      <c r="U73" s="139"/>
      <c r="V73" s="139"/>
      <c r="W73" s="139"/>
      <c r="X73" s="132"/>
      <c r="Y73" s="132"/>
    </row>
    <row r="74" spans="2:35" ht="14.25" x14ac:dyDescent="0.2">
      <c r="C74" s="141"/>
      <c r="D74" s="144"/>
      <c r="E74" s="144"/>
      <c r="F74" s="144"/>
      <c r="G74" s="144"/>
      <c r="H74" s="144"/>
      <c r="I74" s="144"/>
      <c r="J74" s="144"/>
      <c r="K74" s="144"/>
      <c r="L74" s="131"/>
      <c r="M74" s="144"/>
      <c r="N74" s="144"/>
      <c r="O74" s="144"/>
      <c r="P74" s="137"/>
      <c r="Q74" s="139"/>
      <c r="R74" s="139"/>
      <c r="S74" s="139"/>
      <c r="T74" s="139"/>
      <c r="U74" s="139"/>
      <c r="V74" s="139"/>
      <c r="W74" s="139"/>
      <c r="X74" s="132"/>
      <c r="Y74" s="132"/>
    </row>
    <row r="75" spans="2:35" ht="14.25" x14ac:dyDescent="0.2">
      <c r="B75" s="148"/>
      <c r="C75" s="141"/>
      <c r="D75" s="136"/>
      <c r="E75" s="136"/>
      <c r="F75" s="136"/>
      <c r="G75" s="136"/>
      <c r="H75" s="136"/>
      <c r="I75" s="136">
        <f>SUM(D53,D55)</f>
        <v>0</v>
      </c>
      <c r="J75" s="136">
        <f>SUM(E53,E55)</f>
        <v>0</v>
      </c>
      <c r="K75" s="136">
        <f>SUM(F53,F55)</f>
        <v>0</v>
      </c>
      <c r="L75" s="132"/>
      <c r="M75" s="133"/>
      <c r="N75" s="133"/>
      <c r="O75" s="132"/>
      <c r="P75" s="137"/>
      <c r="Q75" s="139"/>
      <c r="R75" s="139"/>
      <c r="S75" s="139"/>
      <c r="T75" s="139"/>
      <c r="U75" s="139"/>
      <c r="V75" s="139"/>
      <c r="W75" s="139"/>
      <c r="X75" s="132"/>
      <c r="Y75" s="132"/>
    </row>
    <row r="76" spans="2:35" ht="14.25" x14ac:dyDescent="0.2">
      <c r="B76" s="148"/>
      <c r="C76" s="131"/>
      <c r="D76" s="132"/>
      <c r="E76" s="132"/>
      <c r="F76" s="132"/>
      <c r="G76" s="132"/>
      <c r="H76" s="132"/>
      <c r="I76" s="132"/>
      <c r="J76" s="132"/>
      <c r="K76" s="132"/>
      <c r="L76" s="132"/>
      <c r="M76" s="133"/>
      <c r="N76" s="133"/>
      <c r="O76" s="132"/>
      <c r="P76" s="137"/>
      <c r="Q76" s="139"/>
      <c r="R76" s="139"/>
      <c r="S76" s="139"/>
      <c r="T76" s="139"/>
      <c r="U76" s="139"/>
      <c r="V76" s="139"/>
      <c r="W76" s="139"/>
      <c r="X76" s="132"/>
      <c r="Y76" s="132"/>
    </row>
    <row r="77" spans="2:35" s="148" customFormat="1" ht="14.25" x14ac:dyDescent="0.2">
      <c r="C77" s="149" t="s">
        <v>7</v>
      </c>
      <c r="D77" s="150">
        <f t="shared" ref="D77:O77" si="10">D45+D50</f>
        <v>1437822</v>
      </c>
      <c r="E77" s="150">
        <f t="shared" si="10"/>
        <v>1313556.26</v>
      </c>
      <c r="F77" s="150">
        <f t="shared" si="10"/>
        <v>1304599.1599999999</v>
      </c>
      <c r="G77" s="150">
        <f t="shared" si="10"/>
        <v>1383.3630000000001</v>
      </c>
      <c r="H77" s="150">
        <f t="shared" si="10"/>
        <v>1902.6558000000002</v>
      </c>
      <c r="I77" s="150">
        <f t="shared" si="10"/>
        <v>0</v>
      </c>
      <c r="J77" s="150">
        <f t="shared" si="10"/>
        <v>0</v>
      </c>
      <c r="K77" s="150">
        <f t="shared" si="10"/>
        <v>0</v>
      </c>
      <c r="L77" s="150">
        <f t="shared" si="10"/>
        <v>0</v>
      </c>
      <c r="M77" s="150">
        <f t="shared" si="10"/>
        <v>2094.0245</v>
      </c>
      <c r="N77" s="150">
        <f t="shared" si="10"/>
        <v>2209.4236500000002</v>
      </c>
      <c r="O77" s="150">
        <f t="shared" si="10"/>
        <v>2196.0070000000001</v>
      </c>
      <c r="P77" s="137" t="s">
        <v>112</v>
      </c>
      <c r="Q77" s="137" t="s">
        <v>112</v>
      </c>
      <c r="R77" s="137" t="s">
        <v>112</v>
      </c>
      <c r="S77" s="137" t="s">
        <v>112</v>
      </c>
      <c r="T77" s="137"/>
      <c r="U77" s="137"/>
      <c r="V77" s="137"/>
      <c r="W77" s="137"/>
      <c r="X77" s="137" t="s">
        <v>112</v>
      </c>
      <c r="Y77" s="137"/>
    </row>
    <row r="78" spans="2:35" s="148" customFormat="1" ht="14.25" x14ac:dyDescent="0.2">
      <c r="C78" s="131"/>
      <c r="D78" s="131"/>
      <c r="E78" s="131"/>
      <c r="F78" s="131"/>
      <c r="G78" s="131"/>
      <c r="H78" s="131"/>
      <c r="I78" s="131"/>
      <c r="J78" s="131"/>
      <c r="K78" s="131"/>
      <c r="L78" s="131"/>
      <c r="M78" s="140"/>
      <c r="N78" s="140"/>
      <c r="O78" s="131"/>
      <c r="P78" s="137" t="s">
        <v>112</v>
      </c>
      <c r="Q78" s="137" t="s">
        <v>112</v>
      </c>
      <c r="R78" s="137" t="s">
        <v>112</v>
      </c>
      <c r="S78" s="137" t="s">
        <v>112</v>
      </c>
      <c r="T78" s="137"/>
      <c r="U78" s="137"/>
      <c r="V78" s="137"/>
      <c r="W78" s="137"/>
      <c r="X78" s="137" t="s">
        <v>112</v>
      </c>
      <c r="Y78" s="137"/>
    </row>
    <row r="79" spans="2:35" s="148" customFormat="1" ht="14.25" x14ac:dyDescent="0.2">
      <c r="C79" s="142" t="s">
        <v>2</v>
      </c>
      <c r="D79" s="150">
        <f t="shared" ref="D79:O79" si="11">D14+D52</f>
        <v>7656719.1500000004</v>
      </c>
      <c r="E79" s="150">
        <f t="shared" si="11"/>
        <v>6706557.6299999999</v>
      </c>
      <c r="F79" s="150">
        <f t="shared" si="11"/>
        <v>7604128.8200000003</v>
      </c>
      <c r="G79" s="150">
        <f t="shared" si="11"/>
        <v>7829.7480000000005</v>
      </c>
      <c r="H79" s="150">
        <f t="shared" si="11"/>
        <v>11534.875680000001</v>
      </c>
      <c r="I79" s="150">
        <f t="shared" si="11"/>
        <v>0</v>
      </c>
      <c r="J79" s="150">
        <f t="shared" si="11"/>
        <v>0</v>
      </c>
      <c r="K79" s="150">
        <f t="shared" si="11"/>
        <v>0</v>
      </c>
      <c r="L79" s="150">
        <f t="shared" si="11"/>
        <v>0</v>
      </c>
      <c r="M79" s="150">
        <f t="shared" si="11"/>
        <v>11442.88465</v>
      </c>
      <c r="N79" s="150">
        <f t="shared" si="11"/>
        <v>12624.050279999999</v>
      </c>
      <c r="O79" s="150">
        <f t="shared" si="11"/>
        <v>13110.682809999998</v>
      </c>
      <c r="P79" s="137" t="s">
        <v>112</v>
      </c>
      <c r="Q79" s="137" t="s">
        <v>112</v>
      </c>
      <c r="R79" s="137" t="s">
        <v>112</v>
      </c>
      <c r="S79" s="137" t="s">
        <v>112</v>
      </c>
      <c r="T79" s="137"/>
      <c r="U79" s="137"/>
      <c r="V79" s="137"/>
      <c r="W79" s="137"/>
      <c r="X79" s="137" t="s">
        <v>112</v>
      </c>
      <c r="Y79" s="137"/>
    </row>
    <row r="80" spans="2:35" s="148" customFormat="1" ht="14.25" x14ac:dyDescent="0.2">
      <c r="C80" s="142"/>
      <c r="D80" s="131"/>
      <c r="E80" s="131"/>
      <c r="F80" s="131"/>
      <c r="G80" s="131"/>
      <c r="H80" s="131"/>
      <c r="I80" s="131"/>
      <c r="J80" s="131"/>
      <c r="K80" s="131"/>
      <c r="L80" s="131"/>
      <c r="M80" s="140"/>
      <c r="N80" s="140"/>
      <c r="O80" s="131"/>
      <c r="P80" s="137" t="s">
        <v>112</v>
      </c>
      <c r="Q80" s="137" t="s">
        <v>112</v>
      </c>
      <c r="R80" s="137" t="s">
        <v>112</v>
      </c>
      <c r="S80" s="137" t="s">
        <v>112</v>
      </c>
      <c r="T80" s="137"/>
      <c r="U80" s="137"/>
      <c r="V80" s="137"/>
      <c r="W80" s="137"/>
      <c r="X80" s="137" t="s">
        <v>112</v>
      </c>
      <c r="Y80" s="137"/>
    </row>
    <row r="81" spans="2:25" ht="14.25" x14ac:dyDescent="0.2">
      <c r="B81" s="148"/>
      <c r="C81" s="142" t="s">
        <v>3</v>
      </c>
      <c r="D81" s="150">
        <f t="shared" ref="D81:O81" si="12">D28+D54</f>
        <v>7602527</v>
      </c>
      <c r="E81" s="150">
        <f t="shared" si="12"/>
        <v>7535940.1200000001</v>
      </c>
      <c r="F81" s="150">
        <f t="shared" si="12"/>
        <v>7286396.3200000003</v>
      </c>
      <c r="G81" s="150">
        <f t="shared" si="12"/>
        <v>7414.6990000000005</v>
      </c>
      <c r="H81" s="150">
        <f t="shared" si="12"/>
        <v>11125.905119999999</v>
      </c>
      <c r="I81" s="150" t="e">
        <f t="shared" si="12"/>
        <v>#REF!</v>
      </c>
      <c r="J81" s="150" t="e">
        <f t="shared" si="12"/>
        <v>#REF!</v>
      </c>
      <c r="K81" s="150" t="e">
        <f t="shared" si="12"/>
        <v>#REF!</v>
      </c>
      <c r="L81" s="150">
        <f t="shared" si="12"/>
        <v>0</v>
      </c>
      <c r="M81" s="150">
        <f t="shared" si="12"/>
        <v>11109.438849999999</v>
      </c>
      <c r="N81" s="150">
        <f t="shared" si="12"/>
        <v>12494.97753</v>
      </c>
      <c r="O81" s="150">
        <f t="shared" si="12"/>
        <v>11033.579</v>
      </c>
      <c r="P81" s="137" t="s">
        <v>112</v>
      </c>
      <c r="Q81" s="137" t="s">
        <v>112</v>
      </c>
      <c r="R81" s="137" t="s">
        <v>112</v>
      </c>
      <c r="S81" s="137" t="s">
        <v>112</v>
      </c>
      <c r="T81" s="137"/>
      <c r="U81" s="137"/>
      <c r="V81" s="137"/>
      <c r="W81" s="137"/>
      <c r="X81" s="137" t="s">
        <v>112</v>
      </c>
      <c r="Y81" s="137"/>
    </row>
    <row r="82" spans="2:25" ht="14.25" x14ac:dyDescent="0.2">
      <c r="B82" s="142"/>
      <c r="C82" s="142"/>
      <c r="D82" s="131"/>
      <c r="E82" s="131"/>
      <c r="F82" s="131"/>
      <c r="G82" s="131"/>
      <c r="H82" s="131"/>
      <c r="I82" s="131"/>
      <c r="J82" s="131"/>
      <c r="K82" s="131"/>
      <c r="L82" s="131"/>
      <c r="M82" s="140"/>
      <c r="N82" s="140"/>
      <c r="O82" s="132"/>
      <c r="P82" s="137" t="s">
        <v>112</v>
      </c>
      <c r="Q82" s="137" t="s">
        <v>112</v>
      </c>
      <c r="R82" s="137" t="s">
        <v>112</v>
      </c>
      <c r="S82" s="137" t="s">
        <v>112</v>
      </c>
      <c r="T82" s="137"/>
      <c r="U82" s="137"/>
      <c r="V82" s="137"/>
      <c r="W82" s="137"/>
      <c r="X82" s="137" t="s">
        <v>112</v>
      </c>
      <c r="Y82" s="137"/>
    </row>
    <row r="83" spans="2:25" ht="14.25" x14ac:dyDescent="0.2">
      <c r="B83" s="148"/>
      <c r="C83" s="142" t="s">
        <v>39</v>
      </c>
      <c r="D83" s="150">
        <f t="shared" ref="D83:O83" si="13">D39+D41</f>
        <v>2969987</v>
      </c>
      <c r="E83" s="150">
        <f t="shared" si="13"/>
        <v>3058750</v>
      </c>
      <c r="F83" s="150">
        <f t="shared" si="13"/>
        <v>3009449</v>
      </c>
      <c r="G83" s="150">
        <f t="shared" si="13"/>
        <v>3103.3029999999999</v>
      </c>
      <c r="H83" s="150">
        <f t="shared" si="13"/>
        <v>3789.33</v>
      </c>
      <c r="I83" s="150">
        <f t="shared" si="13"/>
        <v>0</v>
      </c>
      <c r="J83" s="150">
        <f t="shared" si="13"/>
        <v>0</v>
      </c>
      <c r="K83" s="150">
        <f t="shared" si="13"/>
        <v>0</v>
      </c>
      <c r="L83" s="150">
        <f t="shared" si="13"/>
        <v>0</v>
      </c>
      <c r="M83" s="150">
        <f t="shared" si="13"/>
        <v>4038.998</v>
      </c>
      <c r="N83" s="150">
        <f t="shared" si="13"/>
        <v>4412.6729999999998</v>
      </c>
      <c r="O83" s="150">
        <f t="shared" si="13"/>
        <v>4813.8799999999992</v>
      </c>
      <c r="P83" s="137" t="s">
        <v>112</v>
      </c>
      <c r="Q83" s="137" t="s">
        <v>112</v>
      </c>
      <c r="R83" s="137" t="s">
        <v>112</v>
      </c>
      <c r="S83" s="137" t="s">
        <v>112</v>
      </c>
      <c r="T83" s="137"/>
      <c r="U83" s="137"/>
      <c r="V83" s="137"/>
      <c r="W83" s="137"/>
      <c r="X83" s="137" t="s">
        <v>112</v>
      </c>
      <c r="Y83" s="137"/>
    </row>
    <row r="84" spans="2:25" ht="14.25" x14ac:dyDescent="0.2">
      <c r="B84" s="151"/>
      <c r="C84" s="152"/>
      <c r="D84" s="143"/>
      <c r="E84" s="143"/>
      <c r="F84" s="143"/>
      <c r="G84" s="143"/>
      <c r="H84" s="143"/>
      <c r="I84" s="143"/>
      <c r="J84" s="143"/>
      <c r="K84" s="143"/>
      <c r="L84" s="143"/>
      <c r="M84" s="153"/>
      <c r="N84" s="153"/>
      <c r="O84" s="143"/>
      <c r="P84" s="143"/>
      <c r="Q84" s="154"/>
      <c r="R84" s="154"/>
      <c r="S84" s="154"/>
      <c r="T84" s="154"/>
      <c r="U84" s="154"/>
      <c r="V84" s="154"/>
      <c r="W84" s="154"/>
      <c r="X84" s="143"/>
      <c r="Y84" s="131"/>
    </row>
    <row r="85" spans="2:25" x14ac:dyDescent="0.2">
      <c r="C85" s="142"/>
      <c r="D85" s="134"/>
      <c r="E85" s="134"/>
      <c r="F85" s="134"/>
      <c r="G85" s="134"/>
      <c r="H85" s="134"/>
      <c r="I85" s="134" t="e">
        <f>SUM(I79:I83)</f>
        <v>#REF!</v>
      </c>
      <c r="J85" s="134" t="e">
        <f>SUM(J79:J83)</f>
        <v>#REF!</v>
      </c>
      <c r="K85" s="134" t="e">
        <f>SUM(K79:K83)</f>
        <v>#REF!</v>
      </c>
      <c r="L85" s="134">
        <f>SUM(L79:L83)</f>
        <v>0</v>
      </c>
      <c r="M85" s="134"/>
      <c r="N85" s="134"/>
      <c r="O85" s="134"/>
    </row>
  </sheetData>
  <mergeCells count="3">
    <mergeCell ref="N4:X4"/>
    <mergeCell ref="C8:X8"/>
    <mergeCell ref="B72:X72"/>
  </mergeCells>
  <phoneticPr fontId="0" type="noConversion"/>
  <pageMargins left="0.62" right="0.44" top="0.65" bottom="0.64" header="0.5" footer="0.5"/>
  <pageSetup scale="75" orientation="portrait" r:id="rId1"/>
  <headerFooter alignWithMargins="0"/>
  <ignoredErrors>
    <ignoredError sqref="W16" formulaRange="1"/>
  </ignoredErrors>
  <drawing r:id="rId2"/>
  <legacyDrawing r:id="rId3"/>
  <oleObjects>
    <mc:AlternateContent xmlns:mc="http://schemas.openxmlformats.org/markup-compatibility/2006">
      <mc:Choice Requires="x14">
        <oleObject progId="MSPhotoEd.3" shapeId="13313" r:id="rId4">
          <objectPr defaultSize="0" autoPict="0" r:id="rId5">
            <anchor moveWithCells="1" sizeWithCells="1">
              <from>
                <xdr:col>0</xdr:col>
                <xdr:colOff>171450</xdr:colOff>
                <xdr:row>0</xdr:row>
                <xdr:rowOff>47625</xdr:rowOff>
              </from>
              <to>
                <xdr:col>1</xdr:col>
                <xdr:colOff>228600</xdr:colOff>
                <xdr:row>1</xdr:row>
                <xdr:rowOff>19050</xdr:rowOff>
              </to>
            </anchor>
          </objectPr>
        </oleObject>
      </mc:Choice>
      <mc:Fallback>
        <oleObject progId="MSPhotoEd.3" shapeId="13313" r:id="rId4"/>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4:S69"/>
  <sheetViews>
    <sheetView view="pageBreakPreview" topLeftCell="A7" zoomScaleNormal="90" zoomScaleSheetLayoutView="100" workbookViewId="0">
      <selection activeCell="K39" sqref="K39"/>
    </sheetView>
  </sheetViews>
  <sheetFormatPr defaultRowHeight="12.75" outlineLevelRow="1" x14ac:dyDescent="0.2"/>
  <cols>
    <col min="1" max="1" width="6.42578125" customWidth="1"/>
    <col min="2" max="2" width="42.85546875" customWidth="1"/>
    <col min="3" max="4" width="9.85546875" hidden="1" customWidth="1"/>
    <col min="5" max="5" width="10.85546875" hidden="1" customWidth="1"/>
    <col min="6" max="6" width="11.7109375" hidden="1" customWidth="1"/>
    <col min="7" max="8" width="9.7109375" customWidth="1"/>
    <col min="9" max="9" width="1.42578125" customWidth="1"/>
    <col min="10" max="11" width="10.140625" customWidth="1"/>
    <col min="12" max="12" width="10.85546875" customWidth="1"/>
  </cols>
  <sheetData>
    <row r="4" spans="1:16" ht="15" x14ac:dyDescent="0.25">
      <c r="C4" s="757" t="s">
        <v>232</v>
      </c>
      <c r="D4" s="757"/>
      <c r="E4" s="757"/>
      <c r="F4" s="757"/>
      <c r="G4" s="757"/>
      <c r="H4" s="757"/>
      <c r="I4" s="757"/>
      <c r="J4" s="757"/>
      <c r="K4" s="757"/>
      <c r="L4" s="757"/>
    </row>
    <row r="5" spans="1:16" ht="9" customHeight="1" x14ac:dyDescent="0.2">
      <c r="A5" s="59"/>
      <c r="B5" s="59"/>
      <c r="C5" s="59"/>
      <c r="D5" s="59"/>
      <c r="E5" s="59"/>
      <c r="F5" s="59"/>
      <c r="G5" s="59"/>
      <c r="H5" s="59"/>
      <c r="I5" s="59"/>
      <c r="J5" s="59"/>
      <c r="K5" s="59"/>
      <c r="L5" s="59"/>
      <c r="M5" s="59"/>
      <c r="N5" s="59"/>
    </row>
    <row r="7" spans="1:16" ht="12.75" customHeight="1" x14ac:dyDescent="0.2">
      <c r="B7" s="24"/>
    </row>
    <row r="8" spans="1:16" ht="15.75" x14ac:dyDescent="0.25">
      <c r="A8" s="45" t="s">
        <v>234</v>
      </c>
      <c r="B8" s="755" t="s">
        <v>237</v>
      </c>
      <c r="C8" s="756"/>
      <c r="D8" s="756"/>
      <c r="E8" s="756"/>
      <c r="F8" s="756"/>
      <c r="G8" s="756"/>
      <c r="H8" s="756"/>
      <c r="I8" s="756"/>
      <c r="J8" s="756"/>
      <c r="K8" s="756"/>
      <c r="L8" s="756"/>
    </row>
    <row r="9" spans="1:16" ht="12.75" customHeight="1" x14ac:dyDescent="0.25">
      <c r="A9" s="31"/>
      <c r="B9" s="13"/>
    </row>
    <row r="10" spans="1:16" x14ac:dyDescent="0.2">
      <c r="I10" s="2"/>
      <c r="J10" s="2"/>
      <c r="K10" s="2"/>
      <c r="L10" s="2"/>
      <c r="M10" s="19"/>
    </row>
    <row r="11" spans="1:16" x14ac:dyDescent="0.2">
      <c r="B11" s="8" t="s">
        <v>134</v>
      </c>
      <c r="C11" s="43">
        <v>2003</v>
      </c>
      <c r="D11" s="43">
        <v>2004</v>
      </c>
      <c r="E11" s="43">
        <v>2005</v>
      </c>
      <c r="F11" s="43">
        <v>2006</v>
      </c>
      <c r="G11" s="46">
        <v>2007</v>
      </c>
      <c r="H11" s="46">
        <v>2008</v>
      </c>
      <c r="I11" s="124"/>
      <c r="J11" s="123">
        <v>2009</v>
      </c>
      <c r="K11" s="123">
        <v>2010</v>
      </c>
      <c r="L11" s="123">
        <v>2011</v>
      </c>
      <c r="M11" s="43">
        <v>2012</v>
      </c>
      <c r="N11" s="65"/>
      <c r="O11" s="65"/>
      <c r="P11" s="65"/>
    </row>
    <row r="12" spans="1:16" x14ac:dyDescent="0.2">
      <c r="N12" s="19"/>
    </row>
    <row r="13" spans="1:16" ht="14.25" x14ac:dyDescent="0.2">
      <c r="B13" s="5" t="s">
        <v>135</v>
      </c>
      <c r="C13" s="23">
        <f t="shared" ref="C13:L13" si="0">SUM(C14:C15)</f>
        <v>24</v>
      </c>
      <c r="D13" s="23">
        <f t="shared" si="0"/>
        <v>41</v>
      </c>
      <c r="E13" s="23">
        <f t="shared" si="0"/>
        <v>61</v>
      </c>
      <c r="F13" s="23">
        <f t="shared" si="0"/>
        <v>81</v>
      </c>
      <c r="G13" s="23">
        <f t="shared" si="0"/>
        <v>115</v>
      </c>
      <c r="H13" s="23">
        <f t="shared" si="0"/>
        <v>135</v>
      </c>
      <c r="I13" s="95"/>
      <c r="J13" s="23">
        <f>SUM(J14:J15)</f>
        <v>91</v>
      </c>
      <c r="K13" s="23">
        <f>SUM(K14:K15)</f>
        <v>130</v>
      </c>
      <c r="L13" s="23">
        <f t="shared" si="0"/>
        <v>128</v>
      </c>
      <c r="M13" s="23"/>
      <c r="N13" s="19"/>
    </row>
    <row r="14" spans="1:16" ht="14.25" x14ac:dyDescent="0.2">
      <c r="B14" s="54" t="s">
        <v>136</v>
      </c>
      <c r="C14" s="22">
        <v>14</v>
      </c>
      <c r="D14" s="22">
        <v>25</v>
      </c>
      <c r="E14" s="22">
        <v>37</v>
      </c>
      <c r="F14" s="22">
        <v>49</v>
      </c>
      <c r="G14" s="22">
        <v>69</v>
      </c>
      <c r="H14" s="22">
        <v>60</v>
      </c>
      <c r="I14" s="95"/>
      <c r="J14" s="22">
        <v>42</v>
      </c>
      <c r="K14" s="22">
        <v>58</v>
      </c>
      <c r="L14" s="22">
        <v>47</v>
      </c>
      <c r="M14" s="22"/>
      <c r="N14" s="19"/>
    </row>
    <row r="15" spans="1:16" ht="14.25" x14ac:dyDescent="0.2">
      <c r="B15" s="54" t="s">
        <v>137</v>
      </c>
      <c r="C15" s="22">
        <v>10</v>
      </c>
      <c r="D15" s="22">
        <v>16</v>
      </c>
      <c r="E15" s="22">
        <v>24</v>
      </c>
      <c r="F15" s="22">
        <v>32</v>
      </c>
      <c r="G15" s="22">
        <v>46</v>
      </c>
      <c r="H15" s="22">
        <v>75</v>
      </c>
      <c r="I15" s="95"/>
      <c r="J15" s="22">
        <v>49</v>
      </c>
      <c r="K15" s="22">
        <v>72</v>
      </c>
      <c r="L15" s="22">
        <v>81</v>
      </c>
      <c r="M15" s="22"/>
      <c r="N15" s="19"/>
    </row>
    <row r="16" spans="1:16" x14ac:dyDescent="0.2">
      <c r="B16" s="3"/>
      <c r="C16" s="22"/>
      <c r="D16" s="22"/>
      <c r="E16" s="22"/>
      <c r="F16" s="22"/>
      <c r="G16" s="22"/>
      <c r="H16" s="22"/>
      <c r="I16" s="22"/>
      <c r="N16" s="19"/>
    </row>
    <row r="17" spans="2:17" ht="14.25" x14ac:dyDescent="0.2">
      <c r="B17" s="4" t="s">
        <v>125</v>
      </c>
      <c r="C17" s="23">
        <f t="shared" ref="C17:H17" si="1">SUM(C18:C19)</f>
        <v>600</v>
      </c>
      <c r="D17" s="23">
        <f t="shared" si="1"/>
        <v>604</v>
      </c>
      <c r="E17" s="23">
        <f t="shared" si="1"/>
        <v>576</v>
      </c>
      <c r="F17" s="23">
        <f t="shared" si="1"/>
        <v>642</v>
      </c>
      <c r="G17" s="23">
        <f t="shared" si="1"/>
        <v>814</v>
      </c>
      <c r="H17" s="23">
        <f t="shared" si="1"/>
        <v>742</v>
      </c>
      <c r="I17" s="95"/>
      <c r="J17" s="23">
        <f>SUM(J18:J19)</f>
        <v>837</v>
      </c>
      <c r="K17" s="23">
        <f>SUM(K18:K19)</f>
        <v>788</v>
      </c>
      <c r="L17" s="23">
        <f>SUM(L18:L19)</f>
        <v>772</v>
      </c>
      <c r="M17" s="23"/>
      <c r="N17" s="19"/>
    </row>
    <row r="18" spans="2:17" ht="14.25" x14ac:dyDescent="0.2">
      <c r="B18" s="54" t="s">
        <v>136</v>
      </c>
      <c r="C18" s="22">
        <v>390</v>
      </c>
      <c r="D18" s="22">
        <v>374</v>
      </c>
      <c r="E18" s="22">
        <v>340</v>
      </c>
      <c r="F18" s="22">
        <v>347</v>
      </c>
      <c r="G18" s="22">
        <v>342</v>
      </c>
      <c r="H18" s="22">
        <v>306</v>
      </c>
      <c r="I18" s="95"/>
      <c r="J18" s="22">
        <v>342</v>
      </c>
      <c r="K18" s="22">
        <v>340</v>
      </c>
      <c r="L18" s="22">
        <v>298</v>
      </c>
      <c r="M18" s="22"/>
      <c r="N18" s="19"/>
    </row>
    <row r="19" spans="2:17" ht="14.25" x14ac:dyDescent="0.2">
      <c r="B19" s="54" t="s">
        <v>137</v>
      </c>
      <c r="C19" s="22">
        <v>210</v>
      </c>
      <c r="D19" s="22">
        <v>230</v>
      </c>
      <c r="E19" s="22">
        <v>236</v>
      </c>
      <c r="F19" s="22">
        <v>295</v>
      </c>
      <c r="G19" s="22">
        <v>472</v>
      </c>
      <c r="H19" s="22">
        <v>436</v>
      </c>
      <c r="I19" s="95"/>
      <c r="J19" s="22">
        <v>495</v>
      </c>
      <c r="K19" s="22">
        <v>448</v>
      </c>
      <c r="L19" s="22">
        <v>474</v>
      </c>
      <c r="M19" s="22"/>
      <c r="N19" s="19"/>
    </row>
    <row r="20" spans="2:17" x14ac:dyDescent="0.2">
      <c r="B20" s="164" t="s">
        <v>244</v>
      </c>
      <c r="C20" s="22"/>
      <c r="D20" s="22"/>
      <c r="E20" s="22"/>
      <c r="F20" s="22"/>
      <c r="G20" s="22"/>
      <c r="H20" s="22"/>
      <c r="I20" s="22"/>
      <c r="N20" s="19"/>
      <c r="Q20" s="4"/>
    </row>
    <row r="21" spans="2:17" x14ac:dyDescent="0.2">
      <c r="B21" s="54"/>
      <c r="C21" s="22"/>
      <c r="D21" s="22"/>
      <c r="E21" s="22"/>
      <c r="F21" s="22"/>
      <c r="G21" s="22"/>
      <c r="H21" s="22"/>
      <c r="I21" s="22"/>
      <c r="N21" s="19"/>
      <c r="Q21" s="4"/>
    </row>
    <row r="22" spans="2:17" ht="14.25" x14ac:dyDescent="0.2">
      <c r="B22" s="71" t="s">
        <v>185</v>
      </c>
      <c r="C22" s="23">
        <f t="shared" ref="C22:H22" si="2">SUM(C23:C34)</f>
        <v>95</v>
      </c>
      <c r="D22" s="23">
        <f t="shared" si="2"/>
        <v>78</v>
      </c>
      <c r="E22" s="23">
        <f t="shared" si="2"/>
        <v>92</v>
      </c>
      <c r="F22" s="23">
        <f t="shared" si="2"/>
        <v>93</v>
      </c>
      <c r="G22" s="114">
        <f t="shared" si="2"/>
        <v>232</v>
      </c>
      <c r="H22" s="23">
        <f t="shared" si="2"/>
        <v>102</v>
      </c>
      <c r="I22" s="23"/>
      <c r="J22" s="23">
        <f>SUM(J23:J34)</f>
        <v>75</v>
      </c>
      <c r="K22" s="23">
        <f>SUM(K23:K34)</f>
        <v>68</v>
      </c>
      <c r="L22" s="23">
        <f>SUM(L23:L32)</f>
        <v>67</v>
      </c>
      <c r="M22" s="23"/>
      <c r="N22" s="63"/>
    </row>
    <row r="23" spans="2:17" x14ac:dyDescent="0.2">
      <c r="B23" s="54" t="s">
        <v>126</v>
      </c>
      <c r="C23" s="22">
        <v>21</v>
      </c>
      <c r="D23" s="22">
        <v>15</v>
      </c>
      <c r="E23" s="22">
        <v>21</v>
      </c>
      <c r="F23" s="22">
        <v>23</v>
      </c>
      <c r="G23" s="22">
        <v>46</v>
      </c>
      <c r="H23" s="22">
        <v>16</v>
      </c>
      <c r="I23" s="22"/>
      <c r="J23" s="22">
        <v>15</v>
      </c>
      <c r="K23" s="22">
        <v>8</v>
      </c>
      <c r="L23" s="22">
        <v>13</v>
      </c>
      <c r="M23" s="22"/>
      <c r="N23" s="63"/>
    </row>
    <row r="24" spans="2:17" hidden="1" x14ac:dyDescent="0.2">
      <c r="B24" s="53"/>
      <c r="C24" s="22"/>
      <c r="D24" s="22"/>
      <c r="E24" s="22"/>
      <c r="F24" s="22"/>
      <c r="G24" s="22"/>
      <c r="H24" s="22"/>
      <c r="I24" s="22"/>
      <c r="N24" s="63"/>
    </row>
    <row r="25" spans="2:17" hidden="1" x14ac:dyDescent="0.2">
      <c r="B25" s="53"/>
      <c r="C25" s="22"/>
      <c r="D25" s="22"/>
      <c r="E25" s="22"/>
      <c r="F25" s="22"/>
      <c r="G25" s="22"/>
      <c r="H25" s="22"/>
      <c r="I25" s="22"/>
      <c r="N25" s="63"/>
    </row>
    <row r="26" spans="2:17" x14ac:dyDescent="0.2">
      <c r="B26" s="54" t="s">
        <v>127</v>
      </c>
      <c r="C26" s="22">
        <v>16</v>
      </c>
      <c r="D26" s="22">
        <v>17</v>
      </c>
      <c r="E26" s="22">
        <v>18</v>
      </c>
      <c r="F26" s="22">
        <v>22</v>
      </c>
      <c r="G26" s="22">
        <v>38</v>
      </c>
      <c r="H26" s="22">
        <v>14</v>
      </c>
      <c r="I26" s="22"/>
      <c r="J26" s="22">
        <v>11</v>
      </c>
      <c r="K26" s="22">
        <v>14</v>
      </c>
      <c r="L26" s="22">
        <v>15</v>
      </c>
      <c r="M26" s="22"/>
      <c r="N26" s="63"/>
    </row>
    <row r="27" spans="2:17" x14ac:dyDescent="0.2">
      <c r="B27" s="54" t="s">
        <v>128</v>
      </c>
      <c r="C27" s="22">
        <v>0</v>
      </c>
      <c r="D27" s="22">
        <v>0</v>
      </c>
      <c r="E27" s="22">
        <v>19</v>
      </c>
      <c r="F27" s="22">
        <v>14</v>
      </c>
      <c r="G27" s="22">
        <v>39</v>
      </c>
      <c r="H27" s="22">
        <v>19</v>
      </c>
      <c r="I27" s="22"/>
      <c r="J27" s="22" t="s">
        <v>111</v>
      </c>
      <c r="K27" s="22" t="s">
        <v>111</v>
      </c>
      <c r="L27" s="22">
        <v>12</v>
      </c>
      <c r="M27" s="22"/>
      <c r="N27" s="63"/>
    </row>
    <row r="28" spans="2:17" hidden="1" x14ac:dyDescent="0.2">
      <c r="B28" s="53"/>
      <c r="C28" s="22"/>
      <c r="D28" s="22"/>
      <c r="E28" s="22"/>
      <c r="F28" s="22"/>
      <c r="G28" s="22"/>
      <c r="H28" s="22"/>
      <c r="I28" s="22"/>
      <c r="N28" s="63"/>
    </row>
    <row r="29" spans="2:17" hidden="1" x14ac:dyDescent="0.2">
      <c r="B29" s="53"/>
      <c r="C29" s="22"/>
      <c r="D29" s="22"/>
      <c r="E29" s="22"/>
      <c r="F29" s="22"/>
      <c r="G29" s="22"/>
      <c r="H29" s="22"/>
      <c r="I29" s="22"/>
      <c r="N29" s="63"/>
    </row>
    <row r="30" spans="2:17" x14ac:dyDescent="0.2">
      <c r="B30" s="54" t="s">
        <v>129</v>
      </c>
      <c r="C30" s="22">
        <v>19</v>
      </c>
      <c r="D30" s="22">
        <v>15</v>
      </c>
      <c r="E30" s="22">
        <v>7</v>
      </c>
      <c r="F30" s="22">
        <v>13</v>
      </c>
      <c r="G30" s="22">
        <v>44</v>
      </c>
      <c r="H30" s="22">
        <v>16</v>
      </c>
      <c r="I30" s="22"/>
      <c r="J30" s="22">
        <v>16</v>
      </c>
      <c r="K30" s="22">
        <v>17</v>
      </c>
      <c r="L30" s="22">
        <v>10</v>
      </c>
      <c r="M30" s="22"/>
      <c r="N30" s="63"/>
    </row>
    <row r="31" spans="2:17" hidden="1" x14ac:dyDescent="0.2">
      <c r="B31" s="6" t="s">
        <v>26</v>
      </c>
      <c r="C31" s="22"/>
      <c r="D31" s="22"/>
      <c r="E31" s="22"/>
      <c r="F31" s="22"/>
      <c r="G31" s="22"/>
      <c r="H31" s="22"/>
      <c r="I31" s="22"/>
      <c r="L31" s="22">
        <v>7</v>
      </c>
      <c r="N31" s="63"/>
    </row>
    <row r="32" spans="2:17" hidden="1" x14ac:dyDescent="0.2">
      <c r="B32" s="6" t="s">
        <v>27</v>
      </c>
      <c r="C32" s="22"/>
      <c r="D32" s="22"/>
      <c r="E32" s="22"/>
      <c r="F32" s="22"/>
      <c r="G32" s="22"/>
      <c r="H32" s="22"/>
      <c r="I32" s="22"/>
      <c r="L32" s="22">
        <v>10</v>
      </c>
      <c r="N32" s="63"/>
    </row>
    <row r="33" spans="2:14" x14ac:dyDescent="0.2">
      <c r="B33" s="54" t="s">
        <v>37</v>
      </c>
      <c r="C33" s="22">
        <v>17</v>
      </c>
      <c r="D33" s="22">
        <v>15</v>
      </c>
      <c r="E33" s="22">
        <v>17</v>
      </c>
      <c r="F33" s="22">
        <v>21</v>
      </c>
      <c r="G33" s="22">
        <v>50</v>
      </c>
      <c r="H33" s="22">
        <v>31</v>
      </c>
      <c r="I33" s="22"/>
      <c r="J33" s="22">
        <v>20</v>
      </c>
      <c r="K33" s="22">
        <v>21</v>
      </c>
      <c r="L33" s="304">
        <v>7</v>
      </c>
      <c r="M33" s="22"/>
      <c r="N33" s="63"/>
    </row>
    <row r="34" spans="2:14" x14ac:dyDescent="0.2">
      <c r="B34" s="54" t="s">
        <v>138</v>
      </c>
      <c r="C34" s="22">
        <v>22</v>
      </c>
      <c r="D34" s="22">
        <v>16</v>
      </c>
      <c r="E34" s="22">
        <v>10</v>
      </c>
      <c r="F34" s="22" t="s">
        <v>111</v>
      </c>
      <c r="G34" s="22">
        <v>15</v>
      </c>
      <c r="H34" s="22">
        <v>6</v>
      </c>
      <c r="I34" s="22"/>
      <c r="J34" s="22">
        <v>13</v>
      </c>
      <c r="K34" s="22">
        <v>8</v>
      </c>
      <c r="L34" s="304">
        <v>10</v>
      </c>
      <c r="M34" s="22"/>
      <c r="N34" s="63"/>
    </row>
    <row r="35" spans="2:14" x14ac:dyDescent="0.2">
      <c r="B35" s="164" t="s">
        <v>204</v>
      </c>
      <c r="C35" s="22"/>
      <c r="D35" s="22"/>
      <c r="E35" s="22"/>
      <c r="F35" s="22"/>
      <c r="G35" s="22"/>
      <c r="H35" s="22"/>
      <c r="I35" s="22"/>
      <c r="J35" s="22"/>
      <c r="K35" s="22"/>
      <c r="M35" s="22"/>
      <c r="N35" s="63"/>
    </row>
    <row r="36" spans="2:14" x14ac:dyDescent="0.2">
      <c r="B36" s="18"/>
      <c r="N36" s="63"/>
    </row>
    <row r="37" spans="2:14" ht="14.25" x14ac:dyDescent="0.2">
      <c r="B37" s="36" t="s">
        <v>186</v>
      </c>
      <c r="C37" s="23">
        <f t="shared" ref="C37:L37" si="3">SUM(C38:C43)</f>
        <v>46</v>
      </c>
      <c r="D37" s="23">
        <f t="shared" si="3"/>
        <v>63</v>
      </c>
      <c r="E37" s="23">
        <f t="shared" si="3"/>
        <v>41</v>
      </c>
      <c r="F37" s="23">
        <f t="shared" si="3"/>
        <v>60</v>
      </c>
      <c r="G37" s="23">
        <f t="shared" si="3"/>
        <v>58</v>
      </c>
      <c r="H37" s="23">
        <f>SUM(H38:H43)</f>
        <v>34</v>
      </c>
      <c r="I37" s="23"/>
      <c r="J37" s="23">
        <f>SUM(J38:J43)</f>
        <v>12</v>
      </c>
      <c r="K37" s="23">
        <f>SUM(K38:K43)</f>
        <v>33</v>
      </c>
      <c r="L37" s="23">
        <f t="shared" si="3"/>
        <v>39</v>
      </c>
      <c r="M37" s="23"/>
      <c r="N37" s="63"/>
    </row>
    <row r="38" spans="2:14" x14ac:dyDescent="0.2">
      <c r="B38" s="54" t="s">
        <v>130</v>
      </c>
      <c r="C38" s="22">
        <v>7</v>
      </c>
      <c r="D38" s="22">
        <v>22</v>
      </c>
      <c r="E38" s="22">
        <v>11</v>
      </c>
      <c r="F38" s="22">
        <v>11</v>
      </c>
      <c r="G38" s="22">
        <v>16</v>
      </c>
      <c r="H38" s="22">
        <v>3</v>
      </c>
      <c r="I38" s="22"/>
      <c r="J38" s="22" t="s">
        <v>111</v>
      </c>
      <c r="K38" s="22" t="s">
        <v>111</v>
      </c>
      <c r="L38" s="22" t="s">
        <v>111</v>
      </c>
      <c r="M38" s="22"/>
      <c r="N38" s="63"/>
    </row>
    <row r="39" spans="2:14" x14ac:dyDescent="0.2">
      <c r="B39" s="54" t="s">
        <v>139</v>
      </c>
      <c r="C39" s="22">
        <v>16</v>
      </c>
      <c r="D39" s="22">
        <v>11</v>
      </c>
      <c r="E39" s="22">
        <v>8</v>
      </c>
      <c r="F39" s="22">
        <v>8</v>
      </c>
      <c r="G39" s="22">
        <v>1</v>
      </c>
      <c r="H39" s="22" t="s">
        <v>111</v>
      </c>
      <c r="I39" s="111"/>
      <c r="J39" s="22" t="s">
        <v>111</v>
      </c>
      <c r="K39" s="22" t="s">
        <v>111</v>
      </c>
      <c r="L39" s="22" t="s">
        <v>111</v>
      </c>
      <c r="M39" s="22"/>
      <c r="N39" s="63"/>
    </row>
    <row r="40" spans="2:14" x14ac:dyDescent="0.2">
      <c r="B40" s="54" t="s">
        <v>131</v>
      </c>
      <c r="C40" s="22">
        <v>0</v>
      </c>
      <c r="D40" s="22">
        <v>3</v>
      </c>
      <c r="E40" s="22">
        <v>0</v>
      </c>
      <c r="F40" s="22">
        <v>13</v>
      </c>
      <c r="G40" s="22">
        <v>4</v>
      </c>
      <c r="H40" s="22">
        <v>10</v>
      </c>
      <c r="I40" s="22"/>
      <c r="J40" s="22" t="s">
        <v>111</v>
      </c>
      <c r="K40" s="22">
        <v>4</v>
      </c>
      <c r="L40" s="22">
        <v>10</v>
      </c>
      <c r="M40" s="22"/>
      <c r="N40" s="63"/>
    </row>
    <row r="41" spans="2:14" x14ac:dyDescent="0.2">
      <c r="B41" s="54" t="s">
        <v>132</v>
      </c>
      <c r="C41" s="22">
        <v>13</v>
      </c>
      <c r="D41" s="22">
        <v>17</v>
      </c>
      <c r="E41" s="22">
        <v>18</v>
      </c>
      <c r="F41" s="22">
        <v>24</v>
      </c>
      <c r="G41" s="22">
        <v>37</v>
      </c>
      <c r="H41" s="22">
        <v>16</v>
      </c>
      <c r="I41" s="22"/>
      <c r="J41" s="22">
        <v>12</v>
      </c>
      <c r="K41" s="22">
        <v>29</v>
      </c>
      <c r="L41" s="22">
        <v>29</v>
      </c>
      <c r="M41" s="22"/>
      <c r="N41" s="63"/>
    </row>
    <row r="42" spans="2:14" x14ac:dyDescent="0.2">
      <c r="B42" s="54" t="s">
        <v>133</v>
      </c>
      <c r="C42" s="22">
        <v>10</v>
      </c>
      <c r="D42" s="22">
        <v>10</v>
      </c>
      <c r="E42" s="22">
        <v>4</v>
      </c>
      <c r="F42" s="22" t="s">
        <v>111</v>
      </c>
      <c r="G42" s="22" t="s">
        <v>111</v>
      </c>
      <c r="H42" s="22">
        <v>5</v>
      </c>
      <c r="I42" s="22"/>
      <c r="J42" s="22" t="s">
        <v>111</v>
      </c>
      <c r="K42" s="22" t="s">
        <v>111</v>
      </c>
      <c r="L42" s="22" t="s">
        <v>111</v>
      </c>
      <c r="M42" s="22"/>
      <c r="N42" s="63"/>
    </row>
    <row r="43" spans="2:14" x14ac:dyDescent="0.2">
      <c r="B43" s="54"/>
      <c r="C43" s="22">
        <v>0</v>
      </c>
      <c r="D43" s="22">
        <v>0</v>
      </c>
      <c r="E43" s="22">
        <v>0</v>
      </c>
      <c r="F43" s="22">
        <v>4</v>
      </c>
      <c r="G43" s="22" t="s">
        <v>111</v>
      </c>
      <c r="H43" s="22" t="s">
        <v>111</v>
      </c>
      <c r="I43" s="22"/>
      <c r="N43" s="63"/>
    </row>
    <row r="44" spans="2:14" x14ac:dyDescent="0.2">
      <c r="B44" s="54"/>
      <c r="C44" s="22"/>
      <c r="D44" s="22"/>
      <c r="E44" s="22"/>
      <c r="F44" s="22"/>
      <c r="G44" s="22"/>
      <c r="H44" s="22"/>
      <c r="I44" s="22"/>
      <c r="N44" s="63"/>
    </row>
    <row r="45" spans="2:14" ht="14.25" x14ac:dyDescent="0.2">
      <c r="B45" s="97" t="s">
        <v>187</v>
      </c>
      <c r="C45" s="22"/>
      <c r="D45" s="22"/>
      <c r="E45" s="22"/>
      <c r="F45" s="22"/>
      <c r="G45" s="22"/>
      <c r="H45" s="23">
        <f>SUM(H46:H49)</f>
        <v>83</v>
      </c>
      <c r="I45" s="23"/>
      <c r="J45" s="23">
        <f>SUM(J46:J49)</f>
        <v>136</v>
      </c>
      <c r="K45" s="23">
        <f>SUM(K46:K49)</f>
        <v>64</v>
      </c>
      <c r="L45" s="23">
        <f>SUM(L46:L49)</f>
        <v>27</v>
      </c>
      <c r="M45" s="23"/>
      <c r="N45" s="63"/>
    </row>
    <row r="46" spans="2:14" ht="14.25" x14ac:dyDescent="0.2">
      <c r="B46" s="54" t="s">
        <v>40</v>
      </c>
      <c r="C46" s="110" t="s">
        <v>110</v>
      </c>
      <c r="D46" s="110" t="s">
        <v>110</v>
      </c>
      <c r="E46" s="110" t="s">
        <v>110</v>
      </c>
      <c r="F46" s="110" t="s">
        <v>110</v>
      </c>
      <c r="G46" s="110" t="s">
        <v>110</v>
      </c>
      <c r="H46" s="22">
        <v>6</v>
      </c>
      <c r="I46" s="22"/>
      <c r="J46" s="22">
        <v>6</v>
      </c>
      <c r="K46" s="22">
        <v>9</v>
      </c>
      <c r="L46" s="22">
        <v>13</v>
      </c>
      <c r="M46" s="22"/>
      <c r="N46" s="63"/>
    </row>
    <row r="47" spans="2:14" ht="14.25" x14ac:dyDescent="0.2">
      <c r="B47" s="54" t="s">
        <v>147</v>
      </c>
      <c r="C47" s="110" t="s">
        <v>110</v>
      </c>
      <c r="D47" s="110" t="s">
        <v>110</v>
      </c>
      <c r="E47" s="110" t="s">
        <v>110</v>
      </c>
      <c r="F47" s="110" t="s">
        <v>110</v>
      </c>
      <c r="G47" s="110" t="s">
        <v>110</v>
      </c>
      <c r="H47" s="160">
        <v>8</v>
      </c>
      <c r="I47" s="22"/>
      <c r="J47" s="160">
        <v>12</v>
      </c>
      <c r="K47" s="160">
        <v>10</v>
      </c>
      <c r="L47" s="160">
        <v>0</v>
      </c>
      <c r="M47" s="160"/>
      <c r="N47" s="63"/>
    </row>
    <row r="48" spans="2:14" ht="14.25" x14ac:dyDescent="0.2">
      <c r="B48" s="54" t="s">
        <v>148</v>
      </c>
      <c r="C48" s="110" t="s">
        <v>110</v>
      </c>
      <c r="D48" s="110" t="s">
        <v>110</v>
      </c>
      <c r="E48" s="110" t="s">
        <v>110</v>
      </c>
      <c r="F48" s="110" t="s">
        <v>110</v>
      </c>
      <c r="G48" s="110" t="s">
        <v>110</v>
      </c>
      <c r="H48" s="22">
        <v>42</v>
      </c>
      <c r="I48" s="22"/>
      <c r="J48" s="22">
        <v>101</v>
      </c>
      <c r="K48" s="22">
        <v>30</v>
      </c>
      <c r="L48" s="22">
        <v>0</v>
      </c>
      <c r="M48" s="22"/>
    </row>
    <row r="49" spans="1:19" ht="14.25" x14ac:dyDescent="0.2">
      <c r="B49" s="54" t="s">
        <v>150</v>
      </c>
      <c r="C49" s="110" t="s">
        <v>110</v>
      </c>
      <c r="D49" s="110" t="s">
        <v>110</v>
      </c>
      <c r="E49" s="110" t="s">
        <v>110</v>
      </c>
      <c r="F49" s="110" t="s">
        <v>110</v>
      </c>
      <c r="G49" s="110" t="s">
        <v>110</v>
      </c>
      <c r="H49" s="22">
        <v>27</v>
      </c>
      <c r="I49" s="22"/>
      <c r="J49" s="22">
        <v>17</v>
      </c>
      <c r="K49" s="22">
        <v>15</v>
      </c>
      <c r="L49" s="22">
        <v>14</v>
      </c>
      <c r="M49" s="22"/>
      <c r="N49" s="99">
        <f>(C13+C17+C22+C37+C51)</f>
        <v>1694</v>
      </c>
      <c r="O49" s="99">
        <f>(D13+D17+D22+D37+D51)</f>
        <v>1558</v>
      </c>
      <c r="P49" s="99">
        <f>(E13+E17+E22+E37+E51)</f>
        <v>1313</v>
      </c>
      <c r="Q49" s="99">
        <f>(F13+F17+F22+F37+F51)</f>
        <v>1650</v>
      </c>
      <c r="R49" s="99">
        <f>(H13+H17+H22+H37+H51)</f>
        <v>1122</v>
      </c>
      <c r="S49" s="99" t="s">
        <v>25</v>
      </c>
    </row>
    <row r="50" spans="1:19" x14ac:dyDescent="0.2">
      <c r="N50" s="63"/>
      <c r="O50" s="100">
        <f>((O49-N49)/N49)*100</f>
        <v>-8.0283353010625742</v>
      </c>
      <c r="P50" s="100">
        <f>((P49-O49)/O49)*100</f>
        <v>-15.725288831835687</v>
      </c>
      <c r="Q50" s="100">
        <f>((Q49-P49)/P49)*100</f>
        <v>25.666412795125666</v>
      </c>
      <c r="R50" s="100">
        <f>((R49-Q49)/Q49)*100</f>
        <v>-32</v>
      </c>
      <c r="S50" t="s">
        <v>143</v>
      </c>
    </row>
    <row r="51" spans="1:19" ht="14.25" x14ac:dyDescent="0.2">
      <c r="B51" s="97" t="s">
        <v>188</v>
      </c>
      <c r="C51" s="22">
        <v>929</v>
      </c>
      <c r="D51" s="22">
        <v>772</v>
      </c>
      <c r="E51" s="22">
        <v>543</v>
      </c>
      <c r="F51" s="23">
        <v>774</v>
      </c>
      <c r="G51" s="23">
        <v>760</v>
      </c>
      <c r="H51" s="23">
        <v>109</v>
      </c>
      <c r="I51" s="157">
        <v>5</v>
      </c>
      <c r="J51" s="23">
        <v>144</v>
      </c>
      <c r="K51" s="23">
        <v>106</v>
      </c>
      <c r="L51" s="23">
        <v>101</v>
      </c>
      <c r="M51" s="23"/>
      <c r="N51" s="63"/>
    </row>
    <row r="52" spans="1:19" x14ac:dyDescent="0.2">
      <c r="B52" s="96"/>
      <c r="C52" s="94"/>
      <c r="D52" s="94"/>
      <c r="E52" s="94"/>
      <c r="F52" s="94"/>
      <c r="G52" s="72"/>
      <c r="H52" s="72"/>
      <c r="I52" s="72"/>
      <c r="J52" s="72"/>
      <c r="K52" s="2"/>
      <c r="L52" s="2"/>
      <c r="M52" s="2"/>
      <c r="N52" s="63"/>
    </row>
    <row r="53" spans="1:19" x14ac:dyDescent="0.2">
      <c r="B53" s="71" t="s">
        <v>123</v>
      </c>
      <c r="C53" s="98"/>
      <c r="D53" s="98"/>
      <c r="E53" s="98"/>
      <c r="F53" s="98"/>
      <c r="G53" s="74"/>
      <c r="H53" s="74"/>
      <c r="I53" s="74"/>
      <c r="J53" s="74"/>
      <c r="K53" s="74"/>
      <c r="L53" s="74"/>
      <c r="M53" s="63"/>
      <c r="N53" s="63"/>
    </row>
    <row r="54" spans="1:19" ht="14.25" x14ac:dyDescent="0.2">
      <c r="A54" s="58">
        <v>1</v>
      </c>
      <c r="B54" t="s">
        <v>175</v>
      </c>
      <c r="C54" s="28"/>
      <c r="D54" s="28"/>
      <c r="E54" s="28"/>
      <c r="F54" s="28"/>
      <c r="G54" s="28"/>
      <c r="H54" s="28"/>
      <c r="I54" s="28"/>
      <c r="J54" s="28"/>
      <c r="K54" s="28"/>
      <c r="L54" s="28"/>
      <c r="M54" s="63"/>
      <c r="N54" s="63"/>
    </row>
    <row r="55" spans="1:19" ht="14.25" x14ac:dyDescent="0.2">
      <c r="A55" s="58"/>
      <c r="B55" t="s">
        <v>174</v>
      </c>
      <c r="C55" s="28"/>
      <c r="D55" s="28"/>
      <c r="E55" s="28"/>
      <c r="F55" s="28"/>
      <c r="G55" s="28"/>
      <c r="H55" s="28"/>
      <c r="I55" s="28"/>
      <c r="J55" s="28"/>
      <c r="K55" s="28"/>
      <c r="L55" s="28"/>
      <c r="M55" s="63"/>
      <c r="N55" s="63"/>
    </row>
    <row r="56" spans="1:19" ht="14.25" x14ac:dyDescent="0.2">
      <c r="A56" s="58">
        <v>2</v>
      </c>
      <c r="B56" s="55" t="s">
        <v>140</v>
      </c>
      <c r="C56" s="28"/>
      <c r="D56" s="28"/>
      <c r="E56" s="28"/>
      <c r="F56" s="28"/>
      <c r="G56" s="28"/>
      <c r="H56" s="28"/>
      <c r="I56" s="28"/>
      <c r="J56" s="28"/>
      <c r="K56" s="28"/>
      <c r="L56" s="28"/>
      <c r="M56" s="63"/>
      <c r="N56" s="63"/>
    </row>
    <row r="57" spans="1:19" ht="14.25" x14ac:dyDescent="0.2">
      <c r="A57" s="58">
        <v>3</v>
      </c>
      <c r="B57" t="s">
        <v>164</v>
      </c>
      <c r="C57" s="66"/>
      <c r="D57" s="28"/>
      <c r="E57" s="28"/>
      <c r="F57" s="28"/>
      <c r="G57" s="28"/>
      <c r="H57" s="28"/>
      <c r="I57" s="28"/>
      <c r="J57" s="28"/>
      <c r="K57" s="28"/>
      <c r="L57" s="28"/>
      <c r="M57" s="63"/>
      <c r="N57" s="63"/>
      <c r="Q57" s="18"/>
    </row>
    <row r="58" spans="1:19" ht="26.25" customHeight="1" x14ac:dyDescent="0.2">
      <c r="A58" s="159">
        <v>4</v>
      </c>
      <c r="B58" s="729" t="s">
        <v>193</v>
      </c>
      <c r="C58" s="729"/>
      <c r="D58" s="729"/>
      <c r="E58" s="729"/>
      <c r="F58" s="729"/>
      <c r="G58" s="729"/>
      <c r="H58" s="729"/>
      <c r="I58" s="729"/>
      <c r="J58" s="729"/>
      <c r="K58" s="729"/>
      <c r="L58" s="729"/>
      <c r="M58" s="63"/>
      <c r="N58" s="63"/>
      <c r="Q58" s="18"/>
    </row>
    <row r="59" spans="1:19" ht="14.25" x14ac:dyDescent="0.2">
      <c r="A59" s="58">
        <v>5</v>
      </c>
      <c r="B59" s="15" t="s">
        <v>194</v>
      </c>
      <c r="D59" s="66"/>
      <c r="E59" s="66"/>
      <c r="F59" s="66"/>
      <c r="G59" s="66"/>
      <c r="H59" s="66"/>
      <c r="I59" s="66"/>
      <c r="J59" s="66"/>
      <c r="K59" s="66"/>
      <c r="L59" s="66"/>
      <c r="M59" s="63"/>
      <c r="N59" s="63"/>
    </row>
    <row r="60" spans="1:19" ht="14.25" x14ac:dyDescent="0.2">
      <c r="A60" s="58"/>
      <c r="C60" s="28"/>
      <c r="D60" s="28"/>
      <c r="E60" s="28"/>
      <c r="F60" s="28"/>
      <c r="G60" s="70"/>
      <c r="H60" s="70"/>
      <c r="I60" s="70"/>
      <c r="J60" s="70"/>
      <c r="K60" s="70"/>
      <c r="L60" s="70"/>
      <c r="M60" s="63"/>
      <c r="N60" s="63"/>
    </row>
    <row r="61" spans="1:19" x14ac:dyDescent="0.2">
      <c r="B61" s="162" t="s">
        <v>200</v>
      </c>
      <c r="C61" s="69"/>
      <c r="D61" s="69"/>
      <c r="G61" s="70"/>
      <c r="H61" s="70"/>
      <c r="I61" s="70"/>
      <c r="J61" s="70"/>
      <c r="K61" s="70"/>
      <c r="L61" s="70"/>
      <c r="M61" s="63"/>
      <c r="N61" s="63"/>
    </row>
    <row r="62" spans="1:19" x14ac:dyDescent="0.2">
      <c r="B62" s="60"/>
      <c r="C62" s="69"/>
      <c r="D62" s="69"/>
      <c r="G62" s="70"/>
      <c r="H62" s="70"/>
      <c r="I62" s="70"/>
      <c r="J62" s="70"/>
      <c r="K62" s="70"/>
      <c r="L62" s="70"/>
      <c r="M62" s="63"/>
      <c r="N62" s="63"/>
    </row>
    <row r="63" spans="1:19" x14ac:dyDescent="0.2">
      <c r="B63" s="60"/>
      <c r="C63" s="69"/>
      <c r="D63" s="69"/>
      <c r="G63" s="70"/>
      <c r="H63" s="70"/>
      <c r="I63" s="70"/>
      <c r="J63" s="70"/>
      <c r="K63" s="70"/>
      <c r="L63" s="70"/>
      <c r="M63" s="63"/>
      <c r="N63" s="63"/>
    </row>
    <row r="64" spans="1:19" ht="14.25" x14ac:dyDescent="0.2">
      <c r="C64" s="66"/>
      <c r="D64" s="66"/>
      <c r="E64" s="66"/>
      <c r="F64" s="66"/>
      <c r="G64" s="70"/>
      <c r="H64" s="70"/>
      <c r="I64" s="70"/>
      <c r="J64" s="70"/>
      <c r="K64" s="70"/>
      <c r="L64" s="70"/>
      <c r="M64" s="63"/>
      <c r="N64" s="63"/>
    </row>
    <row r="65" spans="1:14" x14ac:dyDescent="0.2">
      <c r="B65" s="18"/>
      <c r="C65" s="69"/>
      <c r="D65" s="69"/>
      <c r="M65" s="63"/>
      <c r="N65" s="63"/>
    </row>
    <row r="66" spans="1:14" outlineLevel="1" x14ac:dyDescent="0.2">
      <c r="M66" s="18"/>
    </row>
    <row r="67" spans="1:14" x14ac:dyDescent="0.2">
      <c r="A67" s="11"/>
      <c r="B67" s="11"/>
      <c r="C67" s="11"/>
      <c r="D67" s="11"/>
      <c r="E67" s="11"/>
      <c r="F67" s="37"/>
      <c r="G67" s="37"/>
      <c r="H67" s="37"/>
      <c r="I67" s="37"/>
      <c r="J67" s="37"/>
      <c r="K67" s="37"/>
      <c r="L67" s="37"/>
      <c r="M67" s="64"/>
      <c r="N67" s="64"/>
    </row>
    <row r="68" spans="1:14" s="59" customFormat="1" ht="9" customHeight="1" x14ac:dyDescent="0.2"/>
    <row r="69" spans="1:14" x14ac:dyDescent="0.2">
      <c r="A69" s="723" t="e">
        <f>'Rec Exp work(.05)'!B72:X72+1</f>
        <v>#VALUE!</v>
      </c>
      <c r="B69" s="723"/>
      <c r="C69" s="723"/>
      <c r="D69" s="723"/>
      <c r="E69" s="723"/>
      <c r="F69" s="723"/>
      <c r="G69" s="723"/>
      <c r="H69" s="723"/>
      <c r="I69" s="723"/>
      <c r="J69" s="723"/>
      <c r="K69" s="723"/>
      <c r="L69" s="723"/>
      <c r="M69" s="61"/>
    </row>
  </sheetData>
  <mergeCells count="4">
    <mergeCell ref="B8:L8"/>
    <mergeCell ref="A69:L69"/>
    <mergeCell ref="C4:L4"/>
    <mergeCell ref="B58:L58"/>
  </mergeCells>
  <phoneticPr fontId="0" type="noConversion"/>
  <pageMargins left="0.9" right="0.9" top="1" bottom="1" header="0.52" footer="0.5"/>
  <pageSetup scale="78" orientation="portrait" r:id="rId1"/>
  <headerFooter alignWithMargins="0"/>
  <drawing r:id="rId2"/>
  <legacyDrawing r:id="rId3"/>
  <oleObjects>
    <mc:AlternateContent xmlns:mc="http://schemas.openxmlformats.org/markup-compatibility/2006">
      <mc:Choice Requires="x14">
        <oleObject progId="MSPhotoEd.3" shapeId="15361" r:id="rId4">
          <objectPr defaultSize="0" autoPict="0" r:id="rId5">
            <anchor moveWithCells="1" sizeWithCells="1">
              <from>
                <xdr:col>0</xdr:col>
                <xdr:colOff>0</xdr:colOff>
                <xdr:row>0</xdr:row>
                <xdr:rowOff>9525</xdr:rowOff>
              </from>
              <to>
                <xdr:col>0</xdr:col>
                <xdr:colOff>323850</xdr:colOff>
                <xdr:row>0</xdr:row>
                <xdr:rowOff>152400</xdr:rowOff>
              </to>
            </anchor>
          </objectPr>
        </oleObject>
      </mc:Choice>
      <mc:Fallback>
        <oleObject progId="MSPhotoEd.3" shapeId="15361" r:id="rId4"/>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4:T79"/>
  <sheetViews>
    <sheetView view="pageBreakPreview" zoomScaleNormal="90" workbookViewId="0">
      <selection activeCell="N11" sqref="N11"/>
    </sheetView>
  </sheetViews>
  <sheetFormatPr defaultRowHeight="12.75" outlineLevelRow="1" outlineLevelCol="1" x14ac:dyDescent="0.2"/>
  <cols>
    <col min="1" max="1" width="6.42578125" customWidth="1"/>
    <col min="2" max="2" width="37.42578125" customWidth="1"/>
    <col min="3" max="4" width="7.7109375" hidden="1" customWidth="1" outlineLevel="1"/>
    <col min="5" max="5" width="7.7109375" hidden="1" customWidth="1"/>
    <col min="6" max="15" width="7.7109375" customWidth="1"/>
    <col min="16" max="16" width="7.42578125" customWidth="1"/>
  </cols>
  <sheetData>
    <row r="4" spans="1:18" ht="15" x14ac:dyDescent="0.25">
      <c r="K4" s="3"/>
      <c r="L4" s="3"/>
      <c r="M4" s="3"/>
      <c r="N4" s="3"/>
      <c r="O4" s="73" t="s">
        <v>113</v>
      </c>
    </row>
    <row r="5" spans="1:18" ht="9" customHeight="1" x14ac:dyDescent="0.2">
      <c r="A5" s="59"/>
      <c r="B5" s="59"/>
      <c r="C5" s="59"/>
      <c r="D5" s="59"/>
      <c r="E5" s="59"/>
      <c r="F5" s="59"/>
      <c r="G5" s="59"/>
      <c r="H5" s="59"/>
      <c r="I5" s="59"/>
      <c r="J5" s="59"/>
      <c r="K5" s="59"/>
      <c r="L5" s="59"/>
      <c r="M5" s="59"/>
      <c r="N5" s="59"/>
      <c r="O5" s="59"/>
      <c r="P5" s="59"/>
      <c r="Q5" s="59"/>
      <c r="R5" s="59"/>
    </row>
    <row r="7" spans="1:18" ht="14.25" x14ac:dyDescent="0.2">
      <c r="B7" s="24"/>
    </row>
    <row r="8" spans="1:18" ht="18.75" x14ac:dyDescent="0.25">
      <c r="A8" s="31" t="s">
        <v>105</v>
      </c>
      <c r="B8" s="756" t="s">
        <v>141</v>
      </c>
      <c r="C8" s="756"/>
      <c r="D8" s="756"/>
      <c r="E8" s="756"/>
      <c r="F8" s="756"/>
      <c r="G8" s="756"/>
      <c r="H8" s="756"/>
      <c r="I8" s="756"/>
      <c r="J8" s="756"/>
      <c r="K8" s="756"/>
      <c r="L8" s="756"/>
      <c r="M8" s="756"/>
      <c r="N8" s="756"/>
      <c r="O8" s="756"/>
    </row>
    <row r="9" spans="1:18" ht="15.75" x14ac:dyDescent="0.25">
      <c r="A9" s="31"/>
      <c r="B9" s="13"/>
      <c r="C9" s="13"/>
      <c r="D9" s="11"/>
      <c r="E9" s="11"/>
      <c r="F9" s="11"/>
      <c r="G9" s="11"/>
      <c r="H9" s="11"/>
    </row>
    <row r="10" spans="1:18" x14ac:dyDescent="0.2">
      <c r="P10" s="19"/>
      <c r="Q10" s="19"/>
    </row>
    <row r="11" spans="1:18" x14ac:dyDescent="0.2">
      <c r="B11" s="8"/>
      <c r="C11" s="8">
        <v>1991</v>
      </c>
      <c r="D11" s="8">
        <v>1992</v>
      </c>
      <c r="E11" s="35">
        <v>1993</v>
      </c>
      <c r="F11" s="35">
        <v>1994</v>
      </c>
      <c r="G11" s="35">
        <v>1995</v>
      </c>
      <c r="H11" s="35">
        <v>1996</v>
      </c>
      <c r="I11" s="35">
        <v>1997</v>
      </c>
      <c r="J11" s="35">
        <v>1998</v>
      </c>
      <c r="K11" s="35">
        <v>1999</v>
      </c>
      <c r="L11" s="43">
        <v>2000</v>
      </c>
      <c r="M11" s="43">
        <v>2001</v>
      </c>
      <c r="N11" s="43">
        <v>2002</v>
      </c>
      <c r="O11" s="46">
        <v>2003</v>
      </c>
      <c r="P11" s="47"/>
      <c r="Q11" s="65"/>
      <c r="R11" s="65"/>
    </row>
    <row r="12" spans="1:18" x14ac:dyDescent="0.2">
      <c r="C12" s="39"/>
      <c r="D12" s="39"/>
      <c r="E12" s="40"/>
      <c r="F12" s="40"/>
      <c r="G12" s="40"/>
      <c r="H12" s="40"/>
      <c r="P12" s="19"/>
      <c r="Q12" s="19"/>
      <c r="R12" s="19"/>
    </row>
    <row r="13" spans="1:18" x14ac:dyDescent="0.2">
      <c r="B13" s="5" t="s">
        <v>43</v>
      </c>
      <c r="P13" s="19"/>
      <c r="Q13" s="19"/>
      <c r="R13" s="19"/>
    </row>
    <row r="14" spans="1:18" x14ac:dyDescent="0.2">
      <c r="P14" s="19"/>
      <c r="Q14" s="19"/>
      <c r="R14" s="19"/>
    </row>
    <row r="15" spans="1:18" ht="14.25" x14ac:dyDescent="0.2">
      <c r="B15" s="54" t="s">
        <v>36</v>
      </c>
      <c r="C15" s="16">
        <v>34</v>
      </c>
      <c r="D15" s="14">
        <v>36</v>
      </c>
      <c r="E15" s="14">
        <v>39</v>
      </c>
      <c r="F15" s="14">
        <v>37</v>
      </c>
      <c r="G15" s="68" t="s">
        <v>111</v>
      </c>
      <c r="H15" s="14">
        <v>24</v>
      </c>
      <c r="I15" s="14">
        <v>23</v>
      </c>
      <c r="J15" s="14">
        <v>31</v>
      </c>
      <c r="K15" s="14">
        <v>33</v>
      </c>
      <c r="L15" s="14">
        <v>34</v>
      </c>
      <c r="M15" s="14">
        <v>36</v>
      </c>
      <c r="N15" s="14">
        <v>56</v>
      </c>
      <c r="O15" s="14">
        <v>41</v>
      </c>
      <c r="P15" s="63"/>
      <c r="Q15" s="63"/>
      <c r="R15" s="63"/>
    </row>
    <row r="16" spans="1:18" x14ac:dyDescent="0.2">
      <c r="B16" s="52"/>
      <c r="C16" s="16"/>
      <c r="D16" s="14"/>
      <c r="E16" s="14"/>
      <c r="F16" s="14"/>
      <c r="G16" s="14"/>
      <c r="H16" s="14"/>
      <c r="I16" s="14"/>
      <c r="J16" s="14"/>
      <c r="K16" s="14"/>
      <c r="L16" s="14"/>
      <c r="M16" s="14"/>
      <c r="N16" s="14"/>
      <c r="P16" s="63"/>
      <c r="Q16" s="63"/>
      <c r="R16" s="63"/>
    </row>
    <row r="17" spans="2:18" hidden="1" x14ac:dyDescent="0.2">
      <c r="B17" s="53" t="s">
        <v>26</v>
      </c>
      <c r="C17" s="16"/>
      <c r="D17" s="14"/>
      <c r="E17" s="14"/>
      <c r="F17" s="14"/>
      <c r="G17" s="14"/>
      <c r="H17" s="14"/>
      <c r="I17" s="14"/>
      <c r="J17" s="14"/>
      <c r="K17" s="14"/>
      <c r="L17" s="14"/>
      <c r="M17" s="14"/>
      <c r="N17" s="14"/>
      <c r="P17" s="63"/>
      <c r="Q17" s="63"/>
      <c r="R17" s="63"/>
    </row>
    <row r="18" spans="2:18" hidden="1" x14ac:dyDescent="0.2">
      <c r="B18" s="53" t="s">
        <v>27</v>
      </c>
      <c r="C18" s="16"/>
      <c r="D18" s="14"/>
      <c r="E18" s="14"/>
      <c r="F18" s="14"/>
      <c r="G18" s="14"/>
      <c r="H18" s="14"/>
      <c r="I18" s="14"/>
      <c r="J18" s="14"/>
      <c r="K18" s="14"/>
      <c r="L18" s="14"/>
      <c r="M18" s="14"/>
      <c r="N18" s="14"/>
      <c r="P18" s="63"/>
      <c r="Q18" s="63"/>
      <c r="R18" s="63"/>
    </row>
    <row r="19" spans="2:18" x14ac:dyDescent="0.2">
      <c r="B19" s="54" t="s">
        <v>37</v>
      </c>
      <c r="C19" s="16">
        <v>24</v>
      </c>
      <c r="D19" s="14">
        <v>31</v>
      </c>
      <c r="E19" s="14">
        <v>35</v>
      </c>
      <c r="F19" s="14">
        <v>18</v>
      </c>
      <c r="G19" s="14">
        <v>5</v>
      </c>
      <c r="H19" s="14">
        <v>11</v>
      </c>
      <c r="I19" s="14">
        <v>16</v>
      </c>
      <c r="J19" s="14">
        <v>19</v>
      </c>
      <c r="K19" s="14">
        <v>11</v>
      </c>
      <c r="L19" s="14">
        <v>10</v>
      </c>
      <c r="M19" s="14">
        <v>17</v>
      </c>
      <c r="N19" s="14">
        <v>18</v>
      </c>
      <c r="O19" s="14">
        <v>17</v>
      </c>
      <c r="P19" s="63"/>
      <c r="Q19" s="63"/>
      <c r="R19" s="63"/>
    </row>
    <row r="20" spans="2:18" x14ac:dyDescent="0.2">
      <c r="B20" s="52"/>
      <c r="C20" s="16"/>
      <c r="D20" s="14"/>
      <c r="E20" s="14"/>
      <c r="F20" s="14"/>
      <c r="G20" s="14"/>
      <c r="H20" s="14"/>
      <c r="I20" s="14"/>
      <c r="J20" s="14"/>
      <c r="K20" s="14"/>
      <c r="L20" s="14"/>
      <c r="M20" s="14"/>
      <c r="N20" s="14"/>
      <c r="P20" s="63"/>
      <c r="Q20" s="63"/>
      <c r="R20" s="63"/>
    </row>
    <row r="21" spans="2:18" hidden="1" x14ac:dyDescent="0.2">
      <c r="B21" s="53" t="s">
        <v>26</v>
      </c>
      <c r="C21" s="16"/>
      <c r="D21" s="14"/>
      <c r="E21" s="14"/>
      <c r="F21" s="14"/>
      <c r="G21" s="14"/>
      <c r="H21" s="14"/>
      <c r="I21" s="14"/>
      <c r="J21" s="14"/>
      <c r="K21" s="14"/>
      <c r="L21" s="14"/>
      <c r="M21" s="14"/>
      <c r="N21" s="14"/>
      <c r="P21" s="63"/>
      <c r="Q21" s="63"/>
      <c r="R21" s="63"/>
    </row>
    <row r="22" spans="2:18" hidden="1" x14ac:dyDescent="0.2">
      <c r="B22" s="53" t="s">
        <v>27</v>
      </c>
      <c r="C22" s="16"/>
      <c r="D22" s="14"/>
      <c r="E22" s="14"/>
      <c r="F22" s="14"/>
      <c r="G22" s="14"/>
      <c r="H22" s="14"/>
      <c r="I22" s="14"/>
      <c r="J22" s="14"/>
      <c r="K22" s="14"/>
      <c r="L22" s="14"/>
      <c r="M22" s="14"/>
      <c r="N22" s="14"/>
      <c r="P22" s="63"/>
      <c r="Q22" s="63"/>
      <c r="R22" s="63"/>
    </row>
    <row r="23" spans="2:18" ht="14.25" x14ac:dyDescent="0.2">
      <c r="B23" s="54" t="s">
        <v>44</v>
      </c>
      <c r="C23" s="16">
        <v>36</v>
      </c>
      <c r="D23" s="14">
        <v>37</v>
      </c>
      <c r="E23" s="14">
        <v>33</v>
      </c>
      <c r="F23" s="14">
        <v>24</v>
      </c>
      <c r="G23" s="68" t="s">
        <v>111</v>
      </c>
      <c r="H23" s="14">
        <v>18</v>
      </c>
      <c r="I23" s="14">
        <v>18</v>
      </c>
      <c r="J23" s="14">
        <v>19</v>
      </c>
      <c r="K23" s="14">
        <v>18</v>
      </c>
      <c r="L23" s="14">
        <v>24</v>
      </c>
      <c r="M23" s="14">
        <v>25</v>
      </c>
      <c r="N23" s="14">
        <v>32</v>
      </c>
      <c r="O23" s="14">
        <v>36</v>
      </c>
      <c r="P23" s="63"/>
      <c r="Q23" s="63"/>
      <c r="R23" s="63"/>
    </row>
    <row r="24" spans="2:18" hidden="1" x14ac:dyDescent="0.2">
      <c r="B24" s="6" t="s">
        <v>26</v>
      </c>
      <c r="C24" s="16"/>
      <c r="D24" s="16"/>
      <c r="E24" s="32"/>
      <c r="F24" s="16"/>
      <c r="G24" s="16"/>
      <c r="H24" s="16"/>
      <c r="I24" s="16"/>
      <c r="J24" s="16"/>
      <c r="K24" s="16"/>
      <c r="L24" s="16"/>
      <c r="P24" s="63"/>
      <c r="Q24" s="63"/>
      <c r="R24" s="63"/>
    </row>
    <row r="25" spans="2:18" hidden="1" x14ac:dyDescent="0.2">
      <c r="B25" s="6" t="s">
        <v>27</v>
      </c>
      <c r="C25" s="16"/>
      <c r="D25" s="16"/>
      <c r="E25" s="32"/>
      <c r="F25" s="16"/>
      <c r="G25" s="16"/>
      <c r="H25" s="16"/>
      <c r="I25" s="16"/>
      <c r="J25" s="16"/>
      <c r="K25" s="16"/>
      <c r="L25" s="16"/>
      <c r="P25" s="63"/>
      <c r="Q25" s="63"/>
      <c r="R25" s="63"/>
    </row>
    <row r="26" spans="2:18" x14ac:dyDescent="0.2">
      <c r="B26" s="6"/>
      <c r="C26" s="16"/>
      <c r="D26" s="16"/>
      <c r="E26" s="32"/>
      <c r="F26" s="16"/>
      <c r="G26" s="16"/>
      <c r="H26" s="16"/>
      <c r="I26" s="16"/>
      <c r="J26" s="16"/>
      <c r="K26" s="16"/>
      <c r="L26" s="16"/>
      <c r="P26" s="63"/>
      <c r="Q26" s="63"/>
      <c r="R26" s="63"/>
    </row>
    <row r="27" spans="2:18" x14ac:dyDescent="0.2">
      <c r="B27" s="18"/>
      <c r="C27" s="16"/>
      <c r="D27" s="16"/>
      <c r="E27" s="32"/>
      <c r="F27" s="16"/>
      <c r="G27" s="16"/>
      <c r="H27" s="16"/>
      <c r="I27" s="16"/>
      <c r="J27" s="16"/>
      <c r="K27" s="16"/>
      <c r="L27" s="16"/>
      <c r="P27" s="63"/>
      <c r="Q27" s="63"/>
      <c r="R27" s="63"/>
    </row>
    <row r="28" spans="2:18" x14ac:dyDescent="0.2">
      <c r="B28" s="36" t="s">
        <v>45</v>
      </c>
      <c r="C28" s="16"/>
      <c r="D28" s="16"/>
      <c r="E28" s="32"/>
      <c r="F28" s="16"/>
      <c r="G28" s="16"/>
      <c r="H28" s="16"/>
      <c r="I28" s="16"/>
      <c r="J28" s="16"/>
      <c r="K28" s="16"/>
      <c r="L28" s="16"/>
      <c r="P28" s="63"/>
      <c r="Q28" s="63"/>
      <c r="R28" s="63"/>
    </row>
    <row r="29" spans="2:18" x14ac:dyDescent="0.2">
      <c r="B29" s="18"/>
      <c r="C29" s="16"/>
      <c r="D29" s="16"/>
      <c r="E29" s="32"/>
      <c r="F29" s="16"/>
      <c r="G29" s="16"/>
      <c r="H29" s="16"/>
      <c r="I29" s="16"/>
      <c r="J29" s="16"/>
      <c r="K29" s="16"/>
      <c r="L29" s="16"/>
      <c r="P29" s="63"/>
      <c r="Q29" s="63"/>
      <c r="R29" s="63"/>
    </row>
    <row r="30" spans="2:18" ht="14.25" x14ac:dyDescent="0.2">
      <c r="B30" s="75" t="s">
        <v>46</v>
      </c>
      <c r="C30" s="67" t="s">
        <v>111</v>
      </c>
      <c r="D30" s="67" t="s">
        <v>111</v>
      </c>
      <c r="E30" s="33">
        <f>SUM(E31:E32)</f>
        <v>0</v>
      </c>
      <c r="F30" s="28">
        <f>SUM(F31:F32)</f>
        <v>45</v>
      </c>
      <c r="G30" s="28">
        <f>SUM(G31:G32)</f>
        <v>33</v>
      </c>
      <c r="H30" s="28">
        <f>SUM(H31:H32)</f>
        <v>5</v>
      </c>
      <c r="I30" s="28">
        <f>SUM(I31:I32)</f>
        <v>6</v>
      </c>
      <c r="J30" s="68" t="s">
        <v>111</v>
      </c>
      <c r="K30" s="68" t="s">
        <v>111</v>
      </c>
      <c r="L30" s="68" t="s">
        <v>111</v>
      </c>
      <c r="M30" s="68" t="s">
        <v>111</v>
      </c>
      <c r="N30" s="68" t="s">
        <v>111</v>
      </c>
      <c r="O30" s="68" t="s">
        <v>111</v>
      </c>
      <c r="P30" s="63"/>
      <c r="Q30" s="63"/>
      <c r="R30" s="63"/>
    </row>
    <row r="31" spans="2:18" ht="14.25" x14ac:dyDescent="0.2">
      <c r="B31" s="49" t="s">
        <v>47</v>
      </c>
      <c r="C31" s="67" t="s">
        <v>111</v>
      </c>
      <c r="D31" s="67" t="s">
        <v>111</v>
      </c>
      <c r="E31" s="32">
        <v>0</v>
      </c>
      <c r="F31" s="16">
        <v>43</v>
      </c>
      <c r="G31" s="16">
        <v>31</v>
      </c>
      <c r="H31" s="16">
        <v>3</v>
      </c>
      <c r="I31" s="16">
        <v>3</v>
      </c>
      <c r="J31" s="66" t="s">
        <v>110</v>
      </c>
      <c r="K31" s="66" t="s">
        <v>110</v>
      </c>
      <c r="L31" s="66" t="s">
        <v>110</v>
      </c>
      <c r="M31" s="66" t="s">
        <v>110</v>
      </c>
      <c r="N31" s="66" t="s">
        <v>110</v>
      </c>
      <c r="O31" s="66" t="s">
        <v>110</v>
      </c>
      <c r="P31" s="63"/>
      <c r="Q31" s="63"/>
      <c r="R31" s="63"/>
    </row>
    <row r="32" spans="2:18" ht="14.25" x14ac:dyDescent="0.2">
      <c r="B32" s="49" t="s">
        <v>48</v>
      </c>
      <c r="C32" s="67" t="s">
        <v>111</v>
      </c>
      <c r="D32" s="67" t="s">
        <v>111</v>
      </c>
      <c r="E32" s="32">
        <v>0</v>
      </c>
      <c r="F32" s="16">
        <v>2</v>
      </c>
      <c r="G32" s="16">
        <v>2</v>
      </c>
      <c r="H32" s="16">
        <v>2</v>
      </c>
      <c r="I32" s="16">
        <v>3</v>
      </c>
      <c r="J32" s="66" t="s">
        <v>110</v>
      </c>
      <c r="K32" s="66" t="s">
        <v>110</v>
      </c>
      <c r="L32" s="66" t="s">
        <v>110</v>
      </c>
      <c r="M32" s="66" t="s">
        <v>110</v>
      </c>
      <c r="N32" s="66" t="s">
        <v>110</v>
      </c>
      <c r="O32" s="66" t="s">
        <v>110</v>
      </c>
      <c r="P32" s="63"/>
      <c r="Q32" s="63"/>
      <c r="R32" s="63"/>
    </row>
    <row r="33" spans="2:20" ht="14.25" x14ac:dyDescent="0.2">
      <c r="B33" s="75" t="s">
        <v>35</v>
      </c>
      <c r="C33" s="76" t="s">
        <v>111</v>
      </c>
      <c r="D33" s="76" t="s">
        <v>111</v>
      </c>
      <c r="E33" s="33">
        <f t="shared" ref="E33:O33" si="0">SUM(E34:E35)</f>
        <v>0</v>
      </c>
      <c r="F33" s="68" t="s">
        <v>111</v>
      </c>
      <c r="G33" s="68" t="s">
        <v>111</v>
      </c>
      <c r="H33" s="28">
        <f t="shared" si="0"/>
        <v>92</v>
      </c>
      <c r="I33" s="28">
        <f t="shared" si="0"/>
        <v>154</v>
      </c>
      <c r="J33" s="28">
        <f t="shared" si="0"/>
        <v>157</v>
      </c>
      <c r="K33" s="28">
        <f t="shared" si="0"/>
        <v>224</v>
      </c>
      <c r="L33" s="28">
        <f t="shared" si="0"/>
        <v>318</v>
      </c>
      <c r="M33" s="28">
        <f t="shared" si="0"/>
        <v>391</v>
      </c>
      <c r="N33" s="28">
        <f t="shared" si="0"/>
        <v>391</v>
      </c>
      <c r="O33" s="28">
        <f t="shared" si="0"/>
        <v>426</v>
      </c>
      <c r="P33" s="63"/>
      <c r="Q33" s="63"/>
      <c r="R33" s="63"/>
    </row>
    <row r="34" spans="2:20" x14ac:dyDescent="0.2">
      <c r="B34" s="49" t="s">
        <v>47</v>
      </c>
      <c r="C34" s="16"/>
      <c r="D34" s="16"/>
      <c r="E34" s="32"/>
      <c r="F34" s="16"/>
      <c r="G34" s="16"/>
      <c r="H34" s="16">
        <v>44</v>
      </c>
      <c r="I34" s="16">
        <v>60</v>
      </c>
      <c r="J34" s="16">
        <v>69</v>
      </c>
      <c r="K34" s="16">
        <v>88</v>
      </c>
      <c r="L34" s="16">
        <v>152</v>
      </c>
      <c r="M34" s="16">
        <v>242</v>
      </c>
      <c r="N34" s="16">
        <v>215</v>
      </c>
      <c r="O34" s="16">
        <v>243</v>
      </c>
      <c r="P34" s="63"/>
      <c r="Q34" s="63"/>
      <c r="R34" s="63"/>
    </row>
    <row r="35" spans="2:20" x14ac:dyDescent="0.2">
      <c r="B35" s="49" t="s">
        <v>48</v>
      </c>
      <c r="C35" s="16"/>
      <c r="D35" s="16"/>
      <c r="E35" s="32"/>
      <c r="F35" s="16"/>
      <c r="G35" s="16"/>
      <c r="H35" s="16">
        <v>48</v>
      </c>
      <c r="I35" s="16">
        <v>94</v>
      </c>
      <c r="J35" s="16">
        <v>88</v>
      </c>
      <c r="K35" s="16">
        <v>136</v>
      </c>
      <c r="L35" s="16">
        <v>166</v>
      </c>
      <c r="M35" s="16">
        <v>149</v>
      </c>
      <c r="N35" s="16">
        <v>176</v>
      </c>
      <c r="O35" s="16">
        <v>183</v>
      </c>
      <c r="P35" s="63"/>
      <c r="Q35" s="63"/>
      <c r="R35" s="63"/>
    </row>
    <row r="36" spans="2:20" x14ac:dyDescent="0.2">
      <c r="B36" s="18"/>
      <c r="C36" s="16"/>
      <c r="D36" s="16"/>
      <c r="E36" s="32"/>
      <c r="F36" s="16"/>
      <c r="G36" s="16"/>
      <c r="H36" s="16"/>
      <c r="I36" s="16"/>
      <c r="J36" s="16"/>
      <c r="K36" s="16"/>
      <c r="L36" s="16"/>
      <c r="P36" s="63"/>
      <c r="Q36" s="63"/>
      <c r="R36" s="63"/>
    </row>
    <row r="37" spans="2:20" x14ac:dyDescent="0.2">
      <c r="B37" s="18"/>
      <c r="C37" s="16"/>
      <c r="D37" s="16"/>
      <c r="E37" s="32"/>
      <c r="F37" s="16"/>
      <c r="G37" s="16"/>
      <c r="H37" s="16"/>
      <c r="I37" s="16"/>
      <c r="J37" s="16"/>
      <c r="K37" s="16"/>
      <c r="L37" s="16"/>
      <c r="P37" s="63"/>
      <c r="Q37" s="63"/>
      <c r="R37" s="63"/>
    </row>
    <row r="38" spans="2:20" x14ac:dyDescent="0.2">
      <c r="B38" s="36" t="s">
        <v>49</v>
      </c>
      <c r="C38" s="28">
        <f t="shared" ref="C38:N38" si="1">SUM(C40:C50)</f>
        <v>98</v>
      </c>
      <c r="D38" s="28">
        <f t="shared" si="1"/>
        <v>93</v>
      </c>
      <c r="E38" s="28">
        <f t="shared" si="1"/>
        <v>84</v>
      </c>
      <c r="F38" s="28">
        <f t="shared" si="1"/>
        <v>81</v>
      </c>
      <c r="G38" s="28">
        <f t="shared" si="1"/>
        <v>111</v>
      </c>
      <c r="H38" s="28">
        <f t="shared" si="1"/>
        <v>35</v>
      </c>
      <c r="I38" s="28">
        <f t="shared" si="1"/>
        <v>29</v>
      </c>
      <c r="J38" s="28">
        <f t="shared" si="1"/>
        <v>68</v>
      </c>
      <c r="K38" s="28">
        <f t="shared" si="1"/>
        <v>61</v>
      </c>
      <c r="L38" s="28">
        <f t="shared" si="1"/>
        <v>157</v>
      </c>
      <c r="M38" s="28">
        <f t="shared" si="1"/>
        <v>111</v>
      </c>
      <c r="N38" s="28">
        <f t="shared" si="1"/>
        <v>89</v>
      </c>
      <c r="O38" s="28">
        <f>SUM(O40:O50)</f>
        <v>118</v>
      </c>
      <c r="P38" s="63"/>
      <c r="Q38" s="63"/>
      <c r="R38" s="63"/>
    </row>
    <row r="39" spans="2:20" x14ac:dyDescent="0.2">
      <c r="B39" s="18"/>
      <c r="C39" s="16"/>
      <c r="D39" s="16"/>
      <c r="E39" s="32"/>
      <c r="F39" s="16"/>
      <c r="G39" s="16"/>
      <c r="H39" s="16"/>
      <c r="I39" s="16"/>
      <c r="J39" s="16"/>
      <c r="K39" s="16"/>
      <c r="L39" s="16"/>
      <c r="P39" s="63"/>
      <c r="Q39" s="63"/>
      <c r="R39" s="63"/>
    </row>
    <row r="40" spans="2:20" ht="14.25" x14ac:dyDescent="0.2">
      <c r="B40" s="53" t="s">
        <v>50</v>
      </c>
      <c r="C40" s="16">
        <v>50</v>
      </c>
      <c r="D40" s="16">
        <v>39</v>
      </c>
      <c r="E40" s="32">
        <v>27</v>
      </c>
      <c r="F40" s="16">
        <v>26</v>
      </c>
      <c r="G40" s="16">
        <v>38</v>
      </c>
      <c r="H40" s="66" t="s">
        <v>110</v>
      </c>
      <c r="I40" s="16">
        <v>14</v>
      </c>
      <c r="J40" s="16">
        <v>6</v>
      </c>
      <c r="K40" s="66" t="s">
        <v>110</v>
      </c>
      <c r="L40" s="66" t="s">
        <v>110</v>
      </c>
      <c r="M40" s="66" t="s">
        <v>110</v>
      </c>
      <c r="N40" s="66" t="s">
        <v>110</v>
      </c>
      <c r="O40" s="66" t="s">
        <v>110</v>
      </c>
      <c r="P40" s="63"/>
      <c r="Q40" s="63"/>
      <c r="R40" s="63"/>
    </row>
    <row r="41" spans="2:20" x14ac:dyDescent="0.2">
      <c r="B41" s="53" t="s">
        <v>51</v>
      </c>
      <c r="C41" s="16">
        <v>48</v>
      </c>
      <c r="D41" s="16">
        <v>54</v>
      </c>
      <c r="E41" s="32">
        <v>50</v>
      </c>
      <c r="F41" s="16">
        <v>43</v>
      </c>
      <c r="G41" s="16">
        <v>54</v>
      </c>
      <c r="H41" s="16">
        <v>30</v>
      </c>
      <c r="I41" s="16">
        <v>15</v>
      </c>
      <c r="J41" s="16">
        <v>33</v>
      </c>
      <c r="K41" s="16">
        <v>37</v>
      </c>
      <c r="L41" s="16">
        <v>61</v>
      </c>
      <c r="M41" s="16">
        <v>60</v>
      </c>
      <c r="N41" s="16">
        <v>58</v>
      </c>
      <c r="O41" s="16">
        <v>48</v>
      </c>
      <c r="P41" s="63"/>
      <c r="Q41" s="63"/>
      <c r="R41" s="63"/>
    </row>
    <row r="42" spans="2:20" ht="14.25" x14ac:dyDescent="0.2">
      <c r="B42" s="53" t="s">
        <v>52</v>
      </c>
      <c r="C42" s="66" t="s">
        <v>110</v>
      </c>
      <c r="D42" s="66" t="s">
        <v>110</v>
      </c>
      <c r="E42" s="32">
        <v>7</v>
      </c>
      <c r="F42" s="16">
        <v>12</v>
      </c>
      <c r="G42" s="16">
        <v>5</v>
      </c>
      <c r="H42" s="16">
        <v>5</v>
      </c>
      <c r="I42" s="68" t="s">
        <v>111</v>
      </c>
      <c r="J42" s="68" t="s">
        <v>111</v>
      </c>
      <c r="K42" s="68" t="s">
        <v>111</v>
      </c>
      <c r="L42" s="68" t="s">
        <v>111</v>
      </c>
      <c r="M42" s="68" t="s">
        <v>111</v>
      </c>
      <c r="N42" s="68" t="s">
        <v>111</v>
      </c>
      <c r="O42" s="68" t="s">
        <v>111</v>
      </c>
      <c r="P42" s="68"/>
      <c r="Q42" s="68"/>
      <c r="R42" s="68"/>
      <c r="S42" s="68"/>
      <c r="T42" s="68"/>
    </row>
    <row r="43" spans="2:20" ht="14.25" x14ac:dyDescent="0.2">
      <c r="B43" s="53" t="s">
        <v>53</v>
      </c>
      <c r="C43" s="66" t="s">
        <v>110</v>
      </c>
      <c r="D43" s="66" t="s">
        <v>110</v>
      </c>
      <c r="E43" s="32"/>
      <c r="F43" s="16"/>
      <c r="G43" s="16">
        <v>14</v>
      </c>
      <c r="H43" s="67" t="s">
        <v>111</v>
      </c>
      <c r="I43" s="67" t="s">
        <v>111</v>
      </c>
      <c r="J43" s="16">
        <v>17</v>
      </c>
      <c r="K43" s="16">
        <v>24</v>
      </c>
      <c r="L43" s="16">
        <v>39</v>
      </c>
      <c r="M43" s="16">
        <v>24</v>
      </c>
      <c r="N43" s="16">
        <v>31</v>
      </c>
      <c r="O43" s="16">
        <v>17</v>
      </c>
      <c r="P43" s="63"/>
      <c r="Q43" s="63"/>
      <c r="R43" s="63"/>
    </row>
    <row r="44" spans="2:20" ht="14.25" x14ac:dyDescent="0.2">
      <c r="B44" s="53" t="s">
        <v>97</v>
      </c>
      <c r="C44" s="66" t="s">
        <v>110</v>
      </c>
      <c r="D44" s="66" t="s">
        <v>110</v>
      </c>
      <c r="E44" s="32"/>
      <c r="F44" s="16"/>
      <c r="G44" s="16"/>
      <c r="H44" s="66" t="s">
        <v>110</v>
      </c>
      <c r="I44" s="66" t="s">
        <v>110</v>
      </c>
      <c r="J44" s="66" t="s">
        <v>110</v>
      </c>
      <c r="K44" s="66" t="s">
        <v>110</v>
      </c>
      <c r="L44" s="16">
        <v>24</v>
      </c>
      <c r="M44" s="16">
        <v>12</v>
      </c>
      <c r="N44" s="66" t="s">
        <v>110</v>
      </c>
      <c r="O44" s="66" t="s">
        <v>110</v>
      </c>
      <c r="P44" s="63"/>
      <c r="Q44" s="63"/>
      <c r="R44" s="63"/>
    </row>
    <row r="45" spans="2:20" ht="14.25" x14ac:dyDescent="0.2">
      <c r="B45" s="53" t="s">
        <v>98</v>
      </c>
      <c r="C45" s="66" t="s">
        <v>110</v>
      </c>
      <c r="D45" s="66" t="s">
        <v>110</v>
      </c>
      <c r="E45" s="32"/>
      <c r="F45" s="16"/>
      <c r="G45" s="16"/>
      <c r="H45" s="66" t="s">
        <v>110</v>
      </c>
      <c r="I45" s="66" t="s">
        <v>110</v>
      </c>
      <c r="J45" s="66" t="s">
        <v>110</v>
      </c>
      <c r="K45" s="66" t="s">
        <v>110</v>
      </c>
      <c r="L45" s="16">
        <v>15</v>
      </c>
      <c r="M45" s="16">
        <v>8</v>
      </c>
      <c r="N45" s="66" t="s">
        <v>110</v>
      </c>
      <c r="O45" s="66" t="s">
        <v>110</v>
      </c>
      <c r="P45" s="63"/>
      <c r="Q45" s="63"/>
      <c r="R45" s="63"/>
    </row>
    <row r="46" spans="2:20" ht="14.25" x14ac:dyDescent="0.2">
      <c r="B46" s="53" t="s">
        <v>120</v>
      </c>
      <c r="C46" s="66" t="s">
        <v>110</v>
      </c>
      <c r="D46" s="66" t="s">
        <v>110</v>
      </c>
      <c r="E46" s="32"/>
      <c r="F46" s="16"/>
      <c r="G46" s="16"/>
      <c r="H46" s="66" t="s">
        <v>110</v>
      </c>
      <c r="I46" s="66" t="s">
        <v>110</v>
      </c>
      <c r="J46" s="66" t="s">
        <v>110</v>
      </c>
      <c r="K46" s="66" t="s">
        <v>110</v>
      </c>
      <c r="L46" s="16">
        <v>18</v>
      </c>
      <c r="M46" s="16">
        <v>7</v>
      </c>
      <c r="N46" s="66" t="s">
        <v>110</v>
      </c>
      <c r="O46" s="16">
        <v>19</v>
      </c>
      <c r="P46" s="63"/>
      <c r="Q46" s="63"/>
      <c r="R46" s="63"/>
    </row>
    <row r="47" spans="2:20" ht="14.25" x14ac:dyDescent="0.2">
      <c r="B47" s="53" t="s">
        <v>121</v>
      </c>
      <c r="C47" s="66" t="s">
        <v>110</v>
      </c>
      <c r="D47" s="66" t="s">
        <v>110</v>
      </c>
      <c r="E47" s="32"/>
      <c r="F47" s="16"/>
      <c r="G47" s="16"/>
      <c r="H47" s="66" t="s">
        <v>110</v>
      </c>
      <c r="I47" s="66" t="s">
        <v>110</v>
      </c>
      <c r="J47" s="16">
        <v>12</v>
      </c>
      <c r="K47" s="68" t="s">
        <v>111</v>
      </c>
      <c r="L47" s="68" t="s">
        <v>111</v>
      </c>
      <c r="M47" s="68" t="s">
        <v>111</v>
      </c>
      <c r="N47" s="68" t="s">
        <v>111</v>
      </c>
      <c r="O47" s="68" t="s">
        <v>111</v>
      </c>
      <c r="P47" s="68"/>
      <c r="Q47" s="63"/>
      <c r="R47" s="63"/>
    </row>
    <row r="48" spans="2:20" ht="14.25" x14ac:dyDescent="0.2">
      <c r="B48" s="53" t="s">
        <v>103</v>
      </c>
      <c r="C48" s="66" t="s">
        <v>110</v>
      </c>
      <c r="D48" s="66" t="s">
        <v>110</v>
      </c>
      <c r="E48" s="32"/>
      <c r="F48" s="16"/>
      <c r="G48" s="16"/>
      <c r="H48" s="66" t="s">
        <v>110</v>
      </c>
      <c r="I48" s="66" t="s">
        <v>110</v>
      </c>
      <c r="J48" s="66" t="s">
        <v>110</v>
      </c>
      <c r="K48" s="66" t="s">
        <v>110</v>
      </c>
      <c r="L48" s="66" t="s">
        <v>110</v>
      </c>
      <c r="M48" s="66" t="s">
        <v>110</v>
      </c>
      <c r="N48" s="66" t="s">
        <v>110</v>
      </c>
      <c r="O48" s="16">
        <v>12</v>
      </c>
      <c r="P48" s="63"/>
      <c r="Q48" s="63"/>
      <c r="R48" s="63"/>
    </row>
    <row r="49" spans="1:18" ht="14.25" x14ac:dyDescent="0.2">
      <c r="B49" s="53" t="s">
        <v>106</v>
      </c>
      <c r="C49" s="66" t="s">
        <v>110</v>
      </c>
      <c r="D49" s="66" t="s">
        <v>110</v>
      </c>
      <c r="E49" s="32"/>
      <c r="F49" s="16"/>
      <c r="G49" s="16"/>
      <c r="H49" s="66" t="s">
        <v>110</v>
      </c>
      <c r="I49" s="66" t="s">
        <v>110</v>
      </c>
      <c r="J49" s="66" t="s">
        <v>110</v>
      </c>
      <c r="K49" s="66" t="s">
        <v>110</v>
      </c>
      <c r="L49" s="66" t="s">
        <v>110</v>
      </c>
      <c r="M49" s="66" t="s">
        <v>110</v>
      </c>
      <c r="N49" s="66" t="s">
        <v>110</v>
      </c>
      <c r="O49" s="16">
        <v>15</v>
      </c>
      <c r="P49" s="63"/>
      <c r="Q49" s="63"/>
      <c r="R49" s="63"/>
    </row>
    <row r="50" spans="1:18" ht="14.25" x14ac:dyDescent="0.2">
      <c r="B50" s="53" t="s">
        <v>107</v>
      </c>
      <c r="C50" s="66" t="s">
        <v>110</v>
      </c>
      <c r="D50" s="66" t="s">
        <v>110</v>
      </c>
      <c r="E50" s="32"/>
      <c r="F50" s="16"/>
      <c r="G50" s="16"/>
      <c r="H50" s="66" t="s">
        <v>110</v>
      </c>
      <c r="I50" s="66" t="s">
        <v>110</v>
      </c>
      <c r="J50" s="66" t="s">
        <v>110</v>
      </c>
      <c r="K50" s="66" t="s">
        <v>110</v>
      </c>
      <c r="L50" s="66" t="s">
        <v>110</v>
      </c>
      <c r="M50" s="66" t="s">
        <v>110</v>
      </c>
      <c r="N50" s="66" t="s">
        <v>110</v>
      </c>
      <c r="O50" s="16">
        <v>7</v>
      </c>
      <c r="P50" s="63"/>
      <c r="Q50" s="63"/>
      <c r="R50" s="63"/>
    </row>
    <row r="51" spans="1:18" x14ac:dyDescent="0.2">
      <c r="B51" s="18"/>
      <c r="C51" s="16"/>
      <c r="D51" s="16"/>
      <c r="E51" s="32"/>
      <c r="F51" s="16"/>
      <c r="G51" s="16"/>
      <c r="H51" s="16"/>
      <c r="I51" s="16"/>
      <c r="J51" s="16"/>
      <c r="K51" s="16"/>
      <c r="L51" s="16"/>
      <c r="P51" s="63"/>
      <c r="Q51" s="63"/>
      <c r="R51" s="63"/>
    </row>
    <row r="52" spans="1:18" x14ac:dyDescent="0.2">
      <c r="B52" s="36" t="s">
        <v>99</v>
      </c>
      <c r="C52" s="16"/>
      <c r="D52" s="16"/>
      <c r="E52" s="32"/>
      <c r="F52" s="16"/>
      <c r="G52" s="16"/>
      <c r="H52" s="16"/>
      <c r="I52" s="16"/>
      <c r="J52" s="16"/>
      <c r="K52" s="16"/>
      <c r="L52" s="16"/>
      <c r="P52" s="63"/>
      <c r="Q52" s="63"/>
      <c r="R52" s="63"/>
    </row>
    <row r="53" spans="1:18" ht="14.25" x14ac:dyDescent="0.2">
      <c r="B53" s="53" t="s">
        <v>54</v>
      </c>
      <c r="C53" s="16">
        <v>889</v>
      </c>
      <c r="D53" s="16">
        <v>1033</v>
      </c>
      <c r="E53" s="32">
        <v>756</v>
      </c>
      <c r="F53" s="16">
        <v>862</v>
      </c>
      <c r="G53" s="16">
        <v>757</v>
      </c>
      <c r="H53" s="16">
        <v>1183</v>
      </c>
      <c r="I53" s="16">
        <v>1437</v>
      </c>
      <c r="J53" s="16">
        <v>1827</v>
      </c>
      <c r="K53" s="16">
        <v>1591</v>
      </c>
      <c r="L53" s="16">
        <v>1537</v>
      </c>
      <c r="M53" s="16">
        <v>1532</v>
      </c>
      <c r="N53" s="16">
        <v>1181</v>
      </c>
      <c r="O53" s="68" t="s">
        <v>111</v>
      </c>
      <c r="P53" s="63"/>
      <c r="Q53" s="63"/>
      <c r="R53" s="63"/>
    </row>
    <row r="54" spans="1:18" x14ac:dyDescent="0.2">
      <c r="A54" s="19"/>
      <c r="B54" s="2"/>
      <c r="C54" s="2"/>
      <c r="D54" s="2"/>
      <c r="E54" s="48"/>
      <c r="F54" s="48"/>
      <c r="G54" s="48"/>
      <c r="H54" s="48"/>
      <c r="I54" s="2"/>
      <c r="J54" s="2"/>
      <c r="K54" s="2"/>
      <c r="L54" s="2"/>
      <c r="M54" s="2"/>
      <c r="N54" s="2"/>
      <c r="O54" s="2"/>
      <c r="P54" s="50"/>
      <c r="Q54" s="50"/>
      <c r="R54" s="50"/>
    </row>
    <row r="55" spans="1:18" hidden="1" x14ac:dyDescent="0.2">
      <c r="B55" s="18" t="s">
        <v>55</v>
      </c>
      <c r="E55" s="6">
        <v>17</v>
      </c>
      <c r="F55" s="6" t="s">
        <v>56</v>
      </c>
      <c r="G55" s="6" t="s">
        <v>56</v>
      </c>
      <c r="H55" s="6" t="s">
        <v>56</v>
      </c>
      <c r="I55" s="6" t="s">
        <v>56</v>
      </c>
      <c r="J55" s="6" t="s">
        <v>56</v>
      </c>
      <c r="K55" s="6" t="s">
        <v>56</v>
      </c>
      <c r="P55" s="50"/>
      <c r="Q55" s="50"/>
      <c r="R55" s="50"/>
    </row>
    <row r="56" spans="1:18" x14ac:dyDescent="0.2">
      <c r="E56" s="18"/>
      <c r="F56" s="18"/>
      <c r="G56" s="18"/>
      <c r="H56" s="18"/>
      <c r="P56" s="50"/>
      <c r="Q56" s="50"/>
      <c r="R56" s="50"/>
    </row>
    <row r="57" spans="1:18" x14ac:dyDescent="0.2">
      <c r="B57" s="4" t="s">
        <v>124</v>
      </c>
      <c r="E57" s="18"/>
      <c r="F57" s="18"/>
      <c r="G57" s="18"/>
      <c r="H57" s="18"/>
      <c r="P57" s="50"/>
      <c r="Q57" s="50"/>
      <c r="R57" s="50"/>
    </row>
    <row r="58" spans="1:18" ht="14.25" x14ac:dyDescent="0.2">
      <c r="A58" s="24">
        <v>1</v>
      </c>
      <c r="B58" t="s">
        <v>108</v>
      </c>
      <c r="C58" s="11"/>
      <c r="D58" s="11"/>
      <c r="E58" s="17"/>
      <c r="F58" s="17"/>
      <c r="G58" s="17"/>
      <c r="H58" s="17"/>
      <c r="I58" s="11"/>
      <c r="J58" s="11"/>
      <c r="K58" s="11"/>
      <c r="L58" s="11"/>
      <c r="M58" s="11"/>
      <c r="N58" s="11"/>
      <c r="P58" s="50"/>
      <c r="Q58" s="50"/>
      <c r="R58" s="50"/>
    </row>
    <row r="59" spans="1:18" ht="14.25" x14ac:dyDescent="0.2">
      <c r="A59" s="58">
        <v>2</v>
      </c>
      <c r="B59" s="37" t="s">
        <v>109</v>
      </c>
      <c r="E59" s="16"/>
      <c r="F59" s="16"/>
      <c r="G59" s="16"/>
      <c r="H59" s="16"/>
      <c r="P59" s="50"/>
      <c r="Q59" s="50"/>
      <c r="R59" s="50"/>
    </row>
    <row r="60" spans="1:18" outlineLevel="1" x14ac:dyDescent="0.2">
      <c r="E60" s="16"/>
      <c r="F60" s="16"/>
      <c r="G60" s="16"/>
      <c r="H60" s="16"/>
      <c r="P60" s="50"/>
      <c r="Q60" s="50"/>
      <c r="R60" s="50"/>
    </row>
    <row r="61" spans="1:18" outlineLevel="1" x14ac:dyDescent="0.2">
      <c r="B61" s="60" t="s">
        <v>100</v>
      </c>
      <c r="E61" s="16"/>
      <c r="F61" s="16"/>
      <c r="G61" s="16"/>
      <c r="H61" s="16"/>
      <c r="P61" s="50"/>
      <c r="Q61" s="50"/>
      <c r="R61" s="50"/>
    </row>
    <row r="62" spans="1:18" outlineLevel="1" x14ac:dyDescent="0.2">
      <c r="E62" s="16"/>
      <c r="F62" s="16"/>
      <c r="G62" s="16"/>
      <c r="H62" s="16"/>
      <c r="P62" s="50"/>
      <c r="Q62" s="18" t="s">
        <v>57</v>
      </c>
    </row>
    <row r="63" spans="1:18" outlineLevel="1" x14ac:dyDescent="0.2">
      <c r="E63" s="16"/>
      <c r="F63" s="16"/>
      <c r="G63" s="16"/>
      <c r="H63" s="16"/>
      <c r="P63" s="50"/>
      <c r="Q63" s="6" t="s">
        <v>26</v>
      </c>
    </row>
    <row r="64" spans="1:18" outlineLevel="1" x14ac:dyDescent="0.2">
      <c r="E64" s="16"/>
      <c r="F64" s="16"/>
      <c r="G64" s="16"/>
      <c r="H64" s="16"/>
      <c r="P64" s="50"/>
      <c r="Q64" s="6" t="s">
        <v>27</v>
      </c>
    </row>
    <row r="65" spans="1:18" outlineLevel="1" x14ac:dyDescent="0.2">
      <c r="E65" s="16"/>
      <c r="F65" s="16"/>
      <c r="G65" s="16"/>
      <c r="H65" s="16"/>
      <c r="P65" s="50"/>
      <c r="Q65" s="18" t="s">
        <v>58</v>
      </c>
    </row>
    <row r="66" spans="1:18" outlineLevel="1" x14ac:dyDescent="0.2">
      <c r="E66" s="16"/>
      <c r="F66" s="16"/>
      <c r="G66" s="16"/>
      <c r="H66" s="16"/>
      <c r="P66" s="50"/>
      <c r="Q66" s="6" t="s">
        <v>26</v>
      </c>
    </row>
    <row r="67" spans="1:18" outlineLevel="1" x14ac:dyDescent="0.2">
      <c r="B67" s="6"/>
      <c r="E67" s="16"/>
      <c r="F67" s="16"/>
      <c r="G67" s="16"/>
      <c r="H67" s="16"/>
      <c r="P67" s="50"/>
      <c r="Q67" s="6" t="s">
        <v>27</v>
      </c>
    </row>
    <row r="68" spans="1:18" outlineLevel="1" x14ac:dyDescent="0.2">
      <c r="B68" s="6"/>
      <c r="E68" s="16"/>
      <c r="F68" s="16"/>
      <c r="G68" s="16"/>
      <c r="H68" s="16"/>
      <c r="P68" s="50"/>
      <c r="Q68" s="50"/>
      <c r="R68" s="50"/>
    </row>
    <row r="69" spans="1:18" outlineLevel="1" x14ac:dyDescent="0.2">
      <c r="B69" s="6"/>
      <c r="E69" s="16"/>
      <c r="F69" s="16"/>
      <c r="G69" s="16"/>
      <c r="H69" s="16"/>
      <c r="P69" s="50"/>
      <c r="Q69" s="50"/>
      <c r="R69" s="50"/>
    </row>
    <row r="70" spans="1:18" x14ac:dyDescent="0.2">
      <c r="P70" s="50"/>
      <c r="Q70" s="50"/>
      <c r="R70" s="50"/>
    </row>
    <row r="71" spans="1:18" x14ac:dyDescent="0.2">
      <c r="P71" s="50"/>
      <c r="Q71" s="50"/>
      <c r="R71" s="50"/>
    </row>
    <row r="72" spans="1:18" x14ac:dyDescent="0.2">
      <c r="P72" s="50"/>
      <c r="Q72" s="50"/>
      <c r="R72" s="50"/>
    </row>
    <row r="73" spans="1:18" x14ac:dyDescent="0.2">
      <c r="P73" s="50"/>
      <c r="Q73" s="50"/>
      <c r="R73" s="50"/>
    </row>
    <row r="74" spans="1:18" x14ac:dyDescent="0.2">
      <c r="P74" s="50"/>
      <c r="Q74" s="50"/>
      <c r="R74" s="50"/>
    </row>
    <row r="75" spans="1:18" x14ac:dyDescent="0.2">
      <c r="P75" s="50"/>
      <c r="Q75" s="50"/>
      <c r="R75" s="50"/>
    </row>
    <row r="76" spans="1:18" x14ac:dyDescent="0.2">
      <c r="B76" s="60"/>
      <c r="C76" s="60"/>
      <c r="D76" s="60"/>
      <c r="E76" s="60"/>
      <c r="F76" s="60"/>
      <c r="G76" s="60"/>
      <c r="H76" s="60"/>
      <c r="I76" s="60"/>
      <c r="J76" s="60"/>
      <c r="K76" s="60"/>
      <c r="L76" s="60"/>
      <c r="M76" s="60"/>
      <c r="N76" s="37"/>
      <c r="O76" s="37"/>
      <c r="P76" s="50"/>
      <c r="Q76" s="50"/>
      <c r="R76" s="50"/>
    </row>
    <row r="77" spans="1:18" x14ac:dyDescent="0.2">
      <c r="A77" s="11"/>
      <c r="B77" s="11"/>
      <c r="C77" s="11"/>
      <c r="D77" s="11"/>
      <c r="E77" s="11"/>
      <c r="F77" s="11"/>
      <c r="G77" s="11"/>
      <c r="H77" s="11"/>
      <c r="I77" s="11"/>
      <c r="J77" s="11"/>
      <c r="K77" s="11"/>
      <c r="L77" s="11"/>
      <c r="M77" s="11"/>
      <c r="N77" s="37"/>
      <c r="O77" s="37"/>
      <c r="P77" s="64"/>
      <c r="Q77" s="64"/>
      <c r="R77" s="64"/>
    </row>
    <row r="78" spans="1:18" s="59" customFormat="1" ht="9" customHeight="1" x14ac:dyDescent="0.2"/>
    <row r="79" spans="1:18" x14ac:dyDescent="0.2">
      <c r="A79" s="718"/>
      <c r="B79" s="718"/>
      <c r="C79" s="718"/>
      <c r="D79" s="718"/>
      <c r="E79" s="718"/>
      <c r="F79" s="718"/>
      <c r="G79" s="718"/>
      <c r="H79" s="718"/>
      <c r="I79" s="718"/>
      <c r="J79" s="718"/>
      <c r="K79" s="718"/>
      <c r="L79" s="718"/>
      <c r="M79" s="718"/>
      <c r="N79" s="718"/>
      <c r="O79" s="718"/>
      <c r="P79" s="61"/>
      <c r="Q79" s="61"/>
    </row>
  </sheetData>
  <mergeCells count="2">
    <mergeCell ref="B8:O8"/>
    <mergeCell ref="A79:O79"/>
  </mergeCells>
  <phoneticPr fontId="0" type="noConversion"/>
  <pageMargins left="0.9" right="0.9" top="1" bottom="1" header="0.52" footer="0.5"/>
  <pageSetup scale="70" orientation="portrait" r:id="rId1"/>
  <headerFooter alignWithMargins="0"/>
  <colBreaks count="1" manualBreakCount="1">
    <brk id="15" min="1" max="78" man="1"/>
  </colBreaks>
  <drawing r:id="rId2"/>
  <legacyDrawing r:id="rId3"/>
  <oleObjects>
    <mc:AlternateContent xmlns:mc="http://schemas.openxmlformats.org/markup-compatibility/2006">
      <mc:Choice Requires="x14">
        <oleObject progId="MSPhotoEd.3" shapeId="5121" r:id="rId4">
          <objectPr defaultSize="0" autoPict="0" r:id="rId5">
            <anchor moveWithCells="1" sizeWithCells="1">
              <from>
                <xdr:col>0</xdr:col>
                <xdr:colOff>0</xdr:colOff>
                <xdr:row>0</xdr:row>
                <xdr:rowOff>9525</xdr:rowOff>
              </from>
              <to>
                <xdr:col>1</xdr:col>
                <xdr:colOff>628650</xdr:colOff>
                <xdr:row>2</xdr:row>
                <xdr:rowOff>133350</xdr:rowOff>
              </to>
            </anchor>
          </objectPr>
        </oleObject>
      </mc:Choice>
      <mc:Fallback>
        <oleObject progId="MSPhotoEd.3" shapeId="5121" r:id="rId4"/>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4:Y64"/>
  <sheetViews>
    <sheetView view="pageBreakPreview" zoomScaleNormal="100" zoomScaleSheetLayoutView="100" workbookViewId="0">
      <pane xSplit="3" topLeftCell="D1" activePane="topRight" state="frozen"/>
      <selection activeCell="P12" sqref="P12"/>
      <selection pane="topRight" activeCell="A4" sqref="A4:W6"/>
    </sheetView>
  </sheetViews>
  <sheetFormatPr defaultRowHeight="12.75" outlineLevelRow="1" x14ac:dyDescent="0.2"/>
  <cols>
    <col min="1" max="1" width="6.42578125" customWidth="1"/>
    <col min="2" max="2" width="32.7109375" customWidth="1"/>
    <col min="3" max="3" width="9.7109375" hidden="1" customWidth="1"/>
    <col min="4" max="6" width="9" hidden="1" customWidth="1"/>
    <col min="7" max="10" width="8.85546875" hidden="1" customWidth="1"/>
    <col min="11" max="11" width="8.42578125" hidden="1" customWidth="1"/>
    <col min="12" max="13" width="8" hidden="1" customWidth="1"/>
    <col min="14" max="14" width="7.85546875" hidden="1" customWidth="1"/>
    <col min="15" max="15" width="7.7109375" hidden="1" customWidth="1"/>
    <col min="16" max="16" width="7.85546875" hidden="1" customWidth="1"/>
    <col min="17" max="18" width="12.7109375" hidden="1" customWidth="1"/>
    <col min="19" max="23" width="12.7109375" customWidth="1"/>
  </cols>
  <sheetData>
    <row r="4" spans="1:25" ht="15" x14ac:dyDescent="0.25">
      <c r="M4" s="757" t="s">
        <v>232</v>
      </c>
      <c r="N4" s="757"/>
      <c r="O4" s="757"/>
      <c r="P4" s="757"/>
      <c r="Q4" s="757"/>
      <c r="R4" s="757"/>
      <c r="S4" s="757"/>
      <c r="T4" s="757"/>
      <c r="U4" s="757"/>
      <c r="V4" s="757"/>
      <c r="W4" s="757"/>
    </row>
    <row r="5" spans="1:25" ht="9" customHeight="1" x14ac:dyDescent="0.2">
      <c r="A5" s="59"/>
      <c r="B5" s="59"/>
      <c r="C5" s="59"/>
      <c r="D5" s="59"/>
      <c r="E5" s="59"/>
      <c r="F5" s="59"/>
      <c r="G5" s="59"/>
      <c r="H5" s="59"/>
      <c r="I5" s="59"/>
      <c r="J5" s="59"/>
      <c r="K5" s="59"/>
      <c r="L5" s="59"/>
      <c r="M5" s="59"/>
      <c r="N5" s="59"/>
      <c r="O5" s="59"/>
      <c r="P5" s="59"/>
      <c r="Q5" s="59"/>
      <c r="R5" s="59"/>
      <c r="S5" s="59"/>
      <c r="T5" s="59"/>
      <c r="U5" s="59"/>
      <c r="V5" s="59"/>
      <c r="W5" s="59"/>
    </row>
    <row r="8" spans="1:25" ht="15.75" x14ac:dyDescent="0.25">
      <c r="A8" s="45" t="s">
        <v>235</v>
      </c>
      <c r="B8" s="755" t="s">
        <v>236</v>
      </c>
      <c r="C8" s="756"/>
      <c r="D8" s="756"/>
      <c r="E8" s="756"/>
      <c r="F8" s="756"/>
      <c r="G8" s="756"/>
      <c r="H8" s="756"/>
      <c r="I8" s="756"/>
      <c r="J8" s="756"/>
      <c r="K8" s="756"/>
      <c r="L8" s="756"/>
      <c r="M8" s="756"/>
      <c r="N8" s="756"/>
      <c r="O8" s="756"/>
      <c r="P8" s="756"/>
      <c r="Q8" s="756"/>
      <c r="R8" s="756"/>
      <c r="S8" s="756"/>
      <c r="T8" s="756"/>
      <c r="U8" s="756"/>
      <c r="V8" s="756"/>
      <c r="W8" s="756"/>
    </row>
    <row r="10" spans="1:25" x14ac:dyDescent="0.2">
      <c r="U10" s="2"/>
      <c r="V10" s="2"/>
      <c r="W10" s="2"/>
    </row>
    <row r="11" spans="1:25" x14ac:dyDescent="0.2">
      <c r="B11" s="35"/>
      <c r="C11" s="35">
        <v>1991</v>
      </c>
      <c r="D11" s="35">
        <f>C11+1</f>
        <v>1992</v>
      </c>
      <c r="E11" s="35">
        <f t="shared" ref="E11:K11" si="0">D11+1</f>
        <v>1993</v>
      </c>
      <c r="F11" s="35">
        <f t="shared" si="0"/>
        <v>1994</v>
      </c>
      <c r="G11" s="35">
        <f t="shared" si="0"/>
        <v>1995</v>
      </c>
      <c r="H11" s="35">
        <f t="shared" si="0"/>
        <v>1996</v>
      </c>
      <c r="I11" s="35">
        <f t="shared" si="0"/>
        <v>1997</v>
      </c>
      <c r="J11" s="35">
        <f t="shared" si="0"/>
        <v>1998</v>
      </c>
      <c r="K11" s="35">
        <f t="shared" si="0"/>
        <v>1999</v>
      </c>
      <c r="L11" s="43">
        <v>2000</v>
      </c>
      <c r="M11" s="57">
        <v>2001</v>
      </c>
      <c r="N11" s="43">
        <v>2002</v>
      </c>
      <c r="O11" s="43">
        <v>2003</v>
      </c>
      <c r="P11" s="43">
        <v>2004</v>
      </c>
      <c r="Q11" s="51">
        <v>2005</v>
      </c>
      <c r="R11" s="51">
        <v>2006</v>
      </c>
      <c r="S11" s="9"/>
      <c r="T11" s="51">
        <v>2007</v>
      </c>
      <c r="U11" s="56">
        <v>2008</v>
      </c>
      <c r="V11" s="124">
        <v>2009</v>
      </c>
      <c r="W11" s="124">
        <v>2010</v>
      </c>
      <c r="X11" s="46">
        <v>2011</v>
      </c>
      <c r="Y11" s="46">
        <v>2012</v>
      </c>
    </row>
    <row r="13" spans="1:25" x14ac:dyDescent="0.2">
      <c r="B13" s="36" t="s">
        <v>102</v>
      </c>
      <c r="C13" s="28" t="e">
        <f>SUM(C16,#REF!,#REF!,C18,C19)</f>
        <v>#REF!</v>
      </c>
      <c r="D13" s="28" t="e">
        <f>SUM(D16,#REF!,#REF!,D18,D19)</f>
        <v>#REF!</v>
      </c>
      <c r="E13" s="28" t="e">
        <f>SUM(E16,#REF!,#REF!,E18,E19)</f>
        <v>#REF!</v>
      </c>
      <c r="F13" s="28" t="e">
        <f>SUM(F16,#REF!,#REF!,F18,F19)</f>
        <v>#REF!</v>
      </c>
      <c r="G13" s="28" t="e">
        <f>SUM(G16,#REF!,#REF!,G18,G19)</f>
        <v>#REF!</v>
      </c>
      <c r="H13" s="28" t="e">
        <f>SUM(H16,#REF!,#REF!,H18,H19)</f>
        <v>#REF!</v>
      </c>
      <c r="I13" s="28">
        <v>69</v>
      </c>
      <c r="J13" s="77">
        <f>SUM(J16:J19)</f>
        <v>75</v>
      </c>
      <c r="K13" s="91">
        <f t="shared" ref="K13:R13" si="1">SUM(K16:K19)</f>
        <v>73</v>
      </c>
      <c r="L13" s="77">
        <f t="shared" si="1"/>
        <v>103</v>
      </c>
      <c r="M13" s="77">
        <f t="shared" si="1"/>
        <v>108</v>
      </c>
      <c r="N13" s="91">
        <f t="shared" si="1"/>
        <v>101</v>
      </c>
      <c r="O13" s="77">
        <f t="shared" si="1"/>
        <v>127</v>
      </c>
      <c r="P13" s="77">
        <f t="shared" si="1"/>
        <v>116</v>
      </c>
      <c r="Q13" s="77">
        <f t="shared" si="1"/>
        <v>106</v>
      </c>
      <c r="R13" s="77">
        <f t="shared" si="1"/>
        <v>122</v>
      </c>
      <c r="T13" s="77">
        <f>SUM(T16:T19)</f>
        <v>126</v>
      </c>
      <c r="U13" s="77">
        <f>SUM(U16:U19)</f>
        <v>129</v>
      </c>
      <c r="V13" s="77">
        <f>SUM(V16:V19)</f>
        <v>130</v>
      </c>
      <c r="W13" s="77">
        <f>SUM(W16:W19)</f>
        <v>121</v>
      </c>
      <c r="X13" s="77"/>
      <c r="Y13" s="77"/>
    </row>
    <row r="14" spans="1:25" x14ac:dyDescent="0.2">
      <c r="B14" s="36"/>
      <c r="C14" s="28"/>
      <c r="D14" s="28"/>
      <c r="E14" s="28"/>
      <c r="F14" s="28"/>
      <c r="G14" s="28"/>
      <c r="H14" s="28"/>
      <c r="I14" s="28"/>
      <c r="J14" s="78"/>
      <c r="K14" s="92"/>
      <c r="L14" s="79"/>
      <c r="M14" s="79"/>
      <c r="N14" s="88"/>
      <c r="O14" s="79"/>
      <c r="P14" s="79"/>
      <c r="Q14" s="79"/>
      <c r="R14" s="88"/>
      <c r="T14" s="79"/>
    </row>
    <row r="15" spans="1:25" x14ac:dyDescent="0.2">
      <c r="B15" s="36" t="s">
        <v>190</v>
      </c>
      <c r="C15" s="28"/>
      <c r="D15" s="28"/>
      <c r="E15" s="28"/>
      <c r="F15" s="28"/>
      <c r="G15" s="28"/>
      <c r="H15" s="28"/>
      <c r="I15" s="28"/>
      <c r="J15" s="77"/>
      <c r="K15" s="77"/>
      <c r="L15" s="80"/>
      <c r="M15" s="80"/>
      <c r="N15" s="81"/>
      <c r="O15" s="81"/>
      <c r="P15" s="81"/>
      <c r="Q15" s="81"/>
      <c r="R15" s="81"/>
      <c r="T15" s="81"/>
    </row>
    <row r="16" spans="1:25" x14ac:dyDescent="0.2">
      <c r="B16" s="55" t="s">
        <v>60</v>
      </c>
      <c r="C16" s="16">
        <v>0</v>
      </c>
      <c r="D16" s="16">
        <v>13</v>
      </c>
      <c r="E16" s="16">
        <v>22</v>
      </c>
      <c r="F16" s="16">
        <v>26</v>
      </c>
      <c r="G16" s="16">
        <v>25</v>
      </c>
      <c r="H16" s="16">
        <v>27</v>
      </c>
      <c r="I16" s="16">
        <v>50</v>
      </c>
      <c r="J16" s="82">
        <v>62</v>
      </c>
      <c r="K16" s="82">
        <v>61</v>
      </c>
      <c r="L16" s="81">
        <v>89</v>
      </c>
      <c r="M16" s="81">
        <v>92</v>
      </c>
      <c r="N16" s="82">
        <v>79</v>
      </c>
      <c r="O16" s="82">
        <v>115</v>
      </c>
      <c r="P16" s="82">
        <v>87</v>
      </c>
      <c r="Q16" s="82">
        <v>87</v>
      </c>
      <c r="R16" s="82">
        <v>106</v>
      </c>
      <c r="T16" s="82">
        <v>109</v>
      </c>
      <c r="U16" s="82">
        <v>99</v>
      </c>
      <c r="V16" s="82">
        <v>97</v>
      </c>
      <c r="W16" s="82">
        <v>102</v>
      </c>
      <c r="X16" s="82"/>
      <c r="Y16" s="82"/>
    </row>
    <row r="17" spans="2:25" ht="14.25" x14ac:dyDescent="0.2">
      <c r="B17" s="55" t="s">
        <v>170</v>
      </c>
      <c r="C17" s="16"/>
      <c r="D17" s="16"/>
      <c r="E17" s="16"/>
      <c r="F17" s="16"/>
      <c r="G17" s="16"/>
      <c r="H17" s="16"/>
      <c r="I17" s="16"/>
      <c r="J17" s="82"/>
      <c r="K17" s="82"/>
      <c r="L17" s="81"/>
      <c r="M17" s="81"/>
      <c r="N17" s="82"/>
      <c r="O17" s="82"/>
      <c r="P17" s="82"/>
      <c r="Q17" s="82"/>
      <c r="R17" s="83"/>
      <c r="T17" s="83"/>
      <c r="U17" s="125">
        <v>13</v>
      </c>
      <c r="V17" s="82">
        <v>12</v>
      </c>
      <c r="W17" s="82">
        <v>9</v>
      </c>
      <c r="X17" s="82"/>
      <c r="Y17" s="82"/>
    </row>
    <row r="18" spans="2:25" ht="14.25" x14ac:dyDescent="0.2">
      <c r="B18" s="55" t="s">
        <v>101</v>
      </c>
      <c r="C18" s="16">
        <v>0</v>
      </c>
      <c r="D18" s="16">
        <v>0</v>
      </c>
      <c r="E18" s="16">
        <v>0</v>
      </c>
      <c r="F18" s="16">
        <v>0</v>
      </c>
      <c r="G18" s="16">
        <v>1</v>
      </c>
      <c r="H18" s="67" t="s">
        <v>111</v>
      </c>
      <c r="I18" s="16">
        <v>3</v>
      </c>
      <c r="J18" s="82">
        <v>10</v>
      </c>
      <c r="K18" s="82">
        <v>9</v>
      </c>
      <c r="L18" s="81">
        <v>4</v>
      </c>
      <c r="M18" s="81">
        <v>5</v>
      </c>
      <c r="N18" s="82">
        <v>7</v>
      </c>
      <c r="O18" s="83" t="s">
        <v>110</v>
      </c>
      <c r="P18" s="82">
        <v>14</v>
      </c>
      <c r="Q18" s="82">
        <v>12</v>
      </c>
      <c r="R18" s="82">
        <v>2</v>
      </c>
      <c r="T18" s="82">
        <v>3</v>
      </c>
      <c r="U18" s="82">
        <v>1</v>
      </c>
      <c r="V18" s="82">
        <v>1</v>
      </c>
      <c r="W18" s="155" t="s">
        <v>111</v>
      </c>
      <c r="X18" s="155"/>
      <c r="Y18" s="155"/>
    </row>
    <row r="19" spans="2:25" ht="14.25" x14ac:dyDescent="0.2">
      <c r="B19" s="55" t="s">
        <v>62</v>
      </c>
      <c r="C19" s="16">
        <v>0</v>
      </c>
      <c r="D19" s="16">
        <v>0</v>
      </c>
      <c r="E19" s="16">
        <v>0</v>
      </c>
      <c r="F19" s="16">
        <v>8</v>
      </c>
      <c r="G19" s="16">
        <v>7</v>
      </c>
      <c r="H19" s="67" t="s">
        <v>111</v>
      </c>
      <c r="I19" s="67" t="s">
        <v>111</v>
      </c>
      <c r="J19" s="82">
        <v>3</v>
      </c>
      <c r="K19" s="82">
        <v>3</v>
      </c>
      <c r="L19" s="81">
        <v>10</v>
      </c>
      <c r="M19" s="81">
        <v>11</v>
      </c>
      <c r="N19" s="82">
        <v>15</v>
      </c>
      <c r="O19" s="82">
        <v>12</v>
      </c>
      <c r="P19" s="82">
        <v>15</v>
      </c>
      <c r="Q19" s="82">
        <v>7</v>
      </c>
      <c r="R19" s="82">
        <v>14</v>
      </c>
      <c r="T19" s="82">
        <v>14</v>
      </c>
      <c r="U19" s="82">
        <v>16</v>
      </c>
      <c r="V19" s="82">
        <v>20</v>
      </c>
      <c r="W19" s="82">
        <v>10</v>
      </c>
      <c r="X19" s="82"/>
      <c r="Y19" s="82"/>
    </row>
    <row r="20" spans="2:25" x14ac:dyDescent="0.2">
      <c r="B20" s="36"/>
      <c r="C20" s="28"/>
      <c r="D20" s="28"/>
      <c r="E20" s="28"/>
      <c r="F20" s="28"/>
      <c r="G20" s="28"/>
      <c r="H20" s="28"/>
      <c r="I20" s="28"/>
      <c r="J20" s="77"/>
      <c r="K20" s="77"/>
      <c r="L20" s="80"/>
      <c r="M20" s="80"/>
      <c r="N20" s="81"/>
      <c r="O20" s="81"/>
      <c r="P20" s="81"/>
      <c r="Q20" s="81"/>
      <c r="R20" s="81"/>
      <c r="T20" s="81"/>
    </row>
    <row r="21" spans="2:25" x14ac:dyDescent="0.2">
      <c r="B21" s="163" t="s">
        <v>191</v>
      </c>
      <c r="C21" s="16"/>
      <c r="D21" s="16"/>
      <c r="E21" s="16"/>
      <c r="F21" s="16"/>
      <c r="G21" s="16"/>
      <c r="H21" s="16"/>
      <c r="I21" s="16"/>
      <c r="J21" s="77"/>
      <c r="K21" s="77"/>
      <c r="L21" s="77"/>
      <c r="M21" s="77"/>
      <c r="N21" s="77"/>
      <c r="O21" s="77"/>
      <c r="P21" s="77"/>
      <c r="Q21" s="77"/>
      <c r="R21" s="77"/>
      <c r="T21" s="77"/>
    </row>
    <row r="22" spans="2:25" x14ac:dyDescent="0.2">
      <c r="B22" s="38" t="s">
        <v>57</v>
      </c>
      <c r="C22" s="16">
        <v>29</v>
      </c>
      <c r="D22" s="16">
        <v>30</v>
      </c>
      <c r="E22" s="16">
        <v>31</v>
      </c>
      <c r="F22" s="16">
        <v>39</v>
      </c>
      <c r="G22" s="16">
        <v>33</v>
      </c>
      <c r="H22" s="16">
        <v>22</v>
      </c>
      <c r="I22" s="16">
        <v>28</v>
      </c>
      <c r="J22" s="82">
        <v>28</v>
      </c>
      <c r="K22" s="82">
        <v>35</v>
      </c>
      <c r="L22" s="81">
        <v>51</v>
      </c>
      <c r="M22" s="81">
        <v>54</v>
      </c>
      <c r="N22" s="82">
        <v>85</v>
      </c>
      <c r="O22" s="90">
        <v>87</v>
      </c>
      <c r="P22" s="82">
        <v>100</v>
      </c>
      <c r="Q22" s="90">
        <v>73</v>
      </c>
      <c r="R22" s="82">
        <v>89</v>
      </c>
      <c r="T22" s="82">
        <v>88</v>
      </c>
      <c r="U22" s="82">
        <v>86</v>
      </c>
      <c r="V22" s="82">
        <v>94</v>
      </c>
      <c r="W22" s="82">
        <v>80</v>
      </c>
      <c r="X22" s="82"/>
      <c r="Y22" s="82"/>
    </row>
    <row r="23" spans="2:25" x14ac:dyDescent="0.2">
      <c r="B23" s="38" t="s">
        <v>58</v>
      </c>
      <c r="C23" s="16">
        <v>3</v>
      </c>
      <c r="D23" s="16">
        <v>10</v>
      </c>
      <c r="E23" s="16">
        <v>12</v>
      </c>
      <c r="F23" s="16">
        <v>11</v>
      </c>
      <c r="G23" s="16">
        <v>10</v>
      </c>
      <c r="H23" s="16">
        <v>20</v>
      </c>
      <c r="I23" s="16">
        <v>41</v>
      </c>
      <c r="J23" s="82">
        <v>67</v>
      </c>
      <c r="K23" s="82">
        <v>52</v>
      </c>
      <c r="L23" s="81">
        <v>59</v>
      </c>
      <c r="M23" s="81">
        <v>63</v>
      </c>
      <c r="N23" s="82">
        <v>27</v>
      </c>
      <c r="O23" s="90">
        <v>47</v>
      </c>
      <c r="P23" s="82">
        <v>23</v>
      </c>
      <c r="Q23" s="90">
        <v>38</v>
      </c>
      <c r="R23" s="82">
        <v>33</v>
      </c>
      <c r="T23" s="82">
        <v>38</v>
      </c>
      <c r="U23" s="82">
        <v>43</v>
      </c>
      <c r="V23" s="82">
        <v>36</v>
      </c>
      <c r="W23" s="82">
        <v>41</v>
      </c>
      <c r="X23" s="82"/>
      <c r="Y23" s="82"/>
    </row>
    <row r="24" spans="2:25" x14ac:dyDescent="0.2">
      <c r="B24" s="38"/>
      <c r="C24" s="16"/>
      <c r="D24" s="16"/>
      <c r="E24" s="16"/>
      <c r="F24" s="16"/>
      <c r="G24" s="16"/>
      <c r="H24" s="16"/>
      <c r="I24" s="16"/>
      <c r="J24" s="82"/>
      <c r="K24" s="82"/>
      <c r="L24" s="81"/>
      <c r="M24" s="81"/>
      <c r="N24" s="82"/>
      <c r="O24" s="90"/>
      <c r="P24" s="82"/>
      <c r="Q24" s="90"/>
      <c r="R24" s="82"/>
      <c r="T24" s="82"/>
      <c r="U24" s="82"/>
    </row>
    <row r="25" spans="2:25" x14ac:dyDescent="0.2">
      <c r="B25" s="163" t="s">
        <v>192</v>
      </c>
      <c r="C25" s="28"/>
      <c r="D25" s="28"/>
      <c r="E25" s="28"/>
      <c r="F25" s="28"/>
      <c r="G25" s="28"/>
      <c r="H25" s="28"/>
      <c r="I25" s="28"/>
      <c r="J25" s="77"/>
      <c r="K25" s="77"/>
      <c r="L25" s="77"/>
      <c r="M25" s="77"/>
      <c r="N25" s="77"/>
      <c r="O25" s="77"/>
      <c r="P25" s="77"/>
      <c r="Q25" s="77"/>
      <c r="R25" s="77"/>
      <c r="T25" s="77"/>
    </row>
    <row r="26" spans="2:25" x14ac:dyDescent="0.2">
      <c r="B26" s="37" t="s">
        <v>27</v>
      </c>
      <c r="C26" s="16">
        <v>19</v>
      </c>
      <c r="D26" s="16">
        <v>27</v>
      </c>
      <c r="E26" s="16">
        <v>29</v>
      </c>
      <c r="F26" s="16">
        <v>34</v>
      </c>
      <c r="G26" s="16">
        <v>24</v>
      </c>
      <c r="H26" s="16">
        <v>25</v>
      </c>
      <c r="I26" s="16">
        <v>43</v>
      </c>
      <c r="J26" s="82">
        <v>59</v>
      </c>
      <c r="K26" s="82">
        <v>56</v>
      </c>
      <c r="L26" s="81">
        <v>59</v>
      </c>
      <c r="M26" s="81">
        <v>53</v>
      </c>
      <c r="N26" s="82">
        <v>63</v>
      </c>
      <c r="O26" s="90">
        <v>80</v>
      </c>
      <c r="P26" s="82">
        <v>83</v>
      </c>
      <c r="Q26" s="89">
        <v>61</v>
      </c>
      <c r="R26" s="82">
        <v>74</v>
      </c>
      <c r="T26" s="82">
        <v>72</v>
      </c>
      <c r="U26" s="82">
        <v>74</v>
      </c>
      <c r="V26" s="82">
        <v>61</v>
      </c>
      <c r="W26" s="82">
        <v>49</v>
      </c>
      <c r="X26" s="82"/>
      <c r="Y26" s="82"/>
    </row>
    <row r="27" spans="2:25" x14ac:dyDescent="0.2">
      <c r="B27" s="37" t="s">
        <v>26</v>
      </c>
      <c r="C27" s="16">
        <v>13</v>
      </c>
      <c r="D27" s="16">
        <v>13</v>
      </c>
      <c r="E27" s="16">
        <v>14</v>
      </c>
      <c r="F27" s="16">
        <v>16</v>
      </c>
      <c r="G27" s="16">
        <v>19</v>
      </c>
      <c r="H27" s="16">
        <v>17</v>
      </c>
      <c r="I27" s="16">
        <v>26</v>
      </c>
      <c r="J27" s="82">
        <v>36</v>
      </c>
      <c r="K27" s="82">
        <v>31</v>
      </c>
      <c r="L27" s="81">
        <v>51</v>
      </c>
      <c r="M27" s="81">
        <v>64</v>
      </c>
      <c r="N27" s="82">
        <v>49</v>
      </c>
      <c r="O27" s="90">
        <v>54</v>
      </c>
      <c r="P27" s="82">
        <v>40</v>
      </c>
      <c r="Q27" s="89">
        <v>50</v>
      </c>
      <c r="R27" s="82">
        <v>48</v>
      </c>
      <c r="T27" s="82">
        <v>54</v>
      </c>
      <c r="U27" s="82">
        <v>55</v>
      </c>
      <c r="V27" s="82">
        <v>69</v>
      </c>
      <c r="W27" s="82">
        <v>72</v>
      </c>
      <c r="X27" s="82"/>
      <c r="Y27" s="82"/>
    </row>
    <row r="29" spans="2:25" x14ac:dyDescent="0.2">
      <c r="B29" s="38"/>
      <c r="C29" s="16"/>
      <c r="D29" s="16"/>
      <c r="E29" s="16"/>
      <c r="F29" s="16"/>
      <c r="G29" s="16"/>
      <c r="H29" s="16"/>
      <c r="I29" s="16"/>
      <c r="J29" s="82"/>
      <c r="K29" s="82"/>
      <c r="L29" s="81"/>
      <c r="M29" s="81"/>
      <c r="N29" s="82"/>
      <c r="O29" s="90"/>
      <c r="P29" s="82"/>
      <c r="Q29" s="90"/>
      <c r="R29" s="82"/>
      <c r="T29" s="82"/>
      <c r="U29" s="82"/>
    </row>
    <row r="30" spans="2:25" s="4" customFormat="1" ht="14.25" x14ac:dyDescent="0.2">
      <c r="B30" s="71" t="s">
        <v>59</v>
      </c>
      <c r="C30" s="42" t="e">
        <f>SUM(C31,C32,#REF!,#REF!,C34)</f>
        <v>#REF!</v>
      </c>
      <c r="D30" s="42" t="e">
        <f>SUM(D31,D32,#REF!,#REF!,D34)</f>
        <v>#REF!</v>
      </c>
      <c r="E30" s="42" t="e">
        <f>SUM(E31,E32,#REF!,#REF!,E34)</f>
        <v>#REF!</v>
      </c>
      <c r="F30" s="42" t="e">
        <f>SUM(F31,F32,#REF!,#REF!,F34)</f>
        <v>#REF!</v>
      </c>
      <c r="G30" s="42" t="e">
        <f>SUM(G31,G32,#REF!,#REF!,G34)</f>
        <v>#REF!</v>
      </c>
      <c r="H30" s="42" t="e">
        <f>SUM(H31,H32,#REF!,#REF!,H34)</f>
        <v>#REF!</v>
      </c>
      <c r="I30" s="42">
        <v>12</v>
      </c>
      <c r="J30" s="84">
        <v>11</v>
      </c>
      <c r="K30" s="84">
        <v>22</v>
      </c>
      <c r="L30" s="80">
        <f>SUM(L31:L34)</f>
        <v>19</v>
      </c>
      <c r="M30" s="80">
        <f t="shared" ref="M30:R30" si="2">SUM(M31:M34)</f>
        <v>19</v>
      </c>
      <c r="N30" s="80">
        <f t="shared" si="2"/>
        <v>17</v>
      </c>
      <c r="O30" s="80">
        <f t="shared" si="2"/>
        <v>33</v>
      </c>
      <c r="P30" s="80">
        <f t="shared" si="2"/>
        <v>22</v>
      </c>
      <c r="Q30" s="85" t="s">
        <v>111</v>
      </c>
      <c r="R30" s="86">
        <f t="shared" si="2"/>
        <v>29</v>
      </c>
      <c r="T30" s="86">
        <f>SUM(T31:T34)</f>
        <v>34</v>
      </c>
      <c r="U30" s="86">
        <f>SUM(U31:U34)</f>
        <v>36</v>
      </c>
      <c r="V30" s="86">
        <f>SUM(V31:V34)</f>
        <v>23</v>
      </c>
      <c r="W30" s="158" t="s">
        <v>110</v>
      </c>
      <c r="X30" s="158"/>
      <c r="Y30" s="158"/>
    </row>
    <row r="31" spans="2:25" ht="14.25" x14ac:dyDescent="0.2">
      <c r="B31" s="55" t="s">
        <v>173</v>
      </c>
      <c r="C31" s="16">
        <v>0</v>
      </c>
      <c r="D31" s="16">
        <v>0</v>
      </c>
      <c r="E31" s="16">
        <v>0</v>
      </c>
      <c r="F31" s="16">
        <v>11</v>
      </c>
      <c r="G31" s="16">
        <v>10</v>
      </c>
      <c r="H31" s="16">
        <v>6</v>
      </c>
      <c r="I31" s="16">
        <v>10</v>
      </c>
      <c r="J31" s="82">
        <v>9</v>
      </c>
      <c r="K31" s="82">
        <v>19</v>
      </c>
      <c r="L31" s="81">
        <v>18</v>
      </c>
      <c r="M31" s="81">
        <v>15</v>
      </c>
      <c r="N31" s="82">
        <v>15</v>
      </c>
      <c r="O31" s="82">
        <v>23</v>
      </c>
      <c r="P31" s="82">
        <v>11</v>
      </c>
      <c r="Q31" s="83" t="s">
        <v>111</v>
      </c>
      <c r="R31" s="87">
        <v>22</v>
      </c>
      <c r="T31" s="87">
        <v>24</v>
      </c>
      <c r="U31" s="82">
        <v>24</v>
      </c>
      <c r="V31" s="125">
        <v>15</v>
      </c>
      <c r="W31" s="158" t="s">
        <v>110</v>
      </c>
      <c r="X31" s="158"/>
      <c r="Y31" s="158"/>
    </row>
    <row r="32" spans="2:25" ht="14.25" x14ac:dyDescent="0.2">
      <c r="B32" s="3" t="s">
        <v>61</v>
      </c>
      <c r="C32" s="16">
        <v>0</v>
      </c>
      <c r="D32" s="16">
        <v>1</v>
      </c>
      <c r="E32" s="16">
        <v>2</v>
      </c>
      <c r="F32" s="16">
        <v>3</v>
      </c>
      <c r="G32" s="16">
        <v>2</v>
      </c>
      <c r="H32" s="16">
        <v>1</v>
      </c>
      <c r="I32" s="16">
        <v>2</v>
      </c>
      <c r="J32" s="82">
        <v>2</v>
      </c>
      <c r="K32" s="82">
        <v>1</v>
      </c>
      <c r="L32" s="81">
        <v>1</v>
      </c>
      <c r="M32" s="81">
        <v>4</v>
      </c>
      <c r="N32" s="82">
        <v>2</v>
      </c>
      <c r="O32" s="82">
        <v>4</v>
      </c>
      <c r="P32" s="82">
        <v>3</v>
      </c>
      <c r="Q32" s="83" t="s">
        <v>111</v>
      </c>
      <c r="R32" s="83" t="s">
        <v>111</v>
      </c>
      <c r="T32" s="83" t="s">
        <v>111</v>
      </c>
      <c r="U32" s="83" t="s">
        <v>111</v>
      </c>
      <c r="V32" s="83" t="s">
        <v>111</v>
      </c>
      <c r="W32" s="158" t="s">
        <v>110</v>
      </c>
      <c r="X32" s="158"/>
      <c r="Y32" s="158"/>
    </row>
    <row r="33" spans="2:25" ht="14.25" x14ac:dyDescent="0.2">
      <c r="B33" s="3" t="s">
        <v>171</v>
      </c>
      <c r="C33" s="16"/>
      <c r="D33" s="16"/>
      <c r="E33" s="16"/>
      <c r="F33" s="16"/>
      <c r="G33" s="16"/>
      <c r="H33" s="16"/>
      <c r="I33" s="16"/>
      <c r="J33" s="82"/>
      <c r="K33" s="82"/>
      <c r="L33" s="81"/>
      <c r="M33" s="81"/>
      <c r="N33" s="82"/>
      <c r="O33" s="82"/>
      <c r="P33" s="82"/>
      <c r="Q33" s="83"/>
      <c r="R33" s="83"/>
      <c r="T33" s="83"/>
      <c r="U33" s="82">
        <v>2</v>
      </c>
      <c r="V33" s="83" t="s">
        <v>111</v>
      </c>
      <c r="W33" s="158" t="s">
        <v>110</v>
      </c>
      <c r="X33" s="158"/>
      <c r="Y33" s="158"/>
    </row>
    <row r="34" spans="2:25" ht="14.25" x14ac:dyDescent="0.2">
      <c r="B34" s="55" t="s">
        <v>62</v>
      </c>
      <c r="C34" s="16">
        <v>0</v>
      </c>
      <c r="D34" s="16">
        <v>0</v>
      </c>
      <c r="E34" s="16">
        <v>0</v>
      </c>
      <c r="F34" s="16">
        <v>0</v>
      </c>
      <c r="G34" s="16">
        <v>8</v>
      </c>
      <c r="H34" s="16">
        <v>7</v>
      </c>
      <c r="I34" s="67" t="s">
        <v>111</v>
      </c>
      <c r="J34" s="83" t="s">
        <v>111</v>
      </c>
      <c r="K34" s="83" t="s">
        <v>111</v>
      </c>
      <c r="L34" s="83" t="s">
        <v>111</v>
      </c>
      <c r="M34" s="83" t="s">
        <v>111</v>
      </c>
      <c r="N34" s="83" t="s">
        <v>111</v>
      </c>
      <c r="O34" s="82">
        <v>6</v>
      </c>
      <c r="P34" s="82">
        <v>8</v>
      </c>
      <c r="Q34" s="83" t="s">
        <v>111</v>
      </c>
      <c r="R34" s="82">
        <v>7</v>
      </c>
      <c r="T34" s="82">
        <v>10</v>
      </c>
      <c r="U34" s="82">
        <v>10</v>
      </c>
      <c r="V34" s="125">
        <v>8</v>
      </c>
      <c r="W34" s="158" t="s">
        <v>110</v>
      </c>
      <c r="X34" s="158"/>
      <c r="Y34" s="158"/>
    </row>
    <row r="35" spans="2:25" x14ac:dyDescent="0.2">
      <c r="B35" s="38"/>
      <c r="C35" s="16"/>
      <c r="D35" s="16"/>
      <c r="E35" s="16"/>
      <c r="F35" s="16"/>
      <c r="G35" s="16"/>
      <c r="H35" s="16"/>
      <c r="I35" s="16"/>
      <c r="J35" s="82"/>
      <c r="K35" s="82"/>
      <c r="L35" s="81"/>
      <c r="M35" s="81"/>
      <c r="N35" s="82"/>
      <c r="O35" s="90"/>
      <c r="P35" s="82"/>
      <c r="Q35" s="90"/>
      <c r="R35" s="82"/>
      <c r="T35" s="82"/>
      <c r="U35" s="82"/>
      <c r="W35" s="29"/>
      <c r="X35" s="29"/>
      <c r="Y35" s="29"/>
    </row>
    <row r="36" spans="2:25" ht="14.25" x14ac:dyDescent="0.2">
      <c r="B36" s="163" t="s">
        <v>191</v>
      </c>
      <c r="C36" s="16"/>
      <c r="D36" s="16"/>
      <c r="E36" s="16"/>
      <c r="F36" s="16"/>
      <c r="G36" s="16"/>
      <c r="H36" s="16"/>
      <c r="I36" s="16"/>
      <c r="J36" s="82"/>
      <c r="K36" s="82"/>
      <c r="L36" s="81"/>
      <c r="M36" s="81"/>
      <c r="N36" s="82"/>
      <c r="O36" s="90"/>
      <c r="P36" s="82"/>
      <c r="Q36" s="90"/>
      <c r="R36" s="82"/>
      <c r="T36" s="82"/>
      <c r="U36" s="84">
        <f>SUM(U37:U38)</f>
        <v>36</v>
      </c>
      <c r="V36" s="84">
        <f>SUM(V37:V38)</f>
        <v>23</v>
      </c>
      <c r="W36" s="158" t="s">
        <v>110</v>
      </c>
      <c r="X36" s="158"/>
      <c r="Y36" s="158"/>
    </row>
    <row r="37" spans="2:25" ht="14.25" x14ac:dyDescent="0.2">
      <c r="B37" s="38" t="s">
        <v>57</v>
      </c>
      <c r="I37" s="16"/>
      <c r="J37" s="82"/>
      <c r="K37" s="82"/>
      <c r="L37" s="82"/>
      <c r="M37" s="82"/>
      <c r="N37" s="82"/>
      <c r="O37" s="90"/>
      <c r="P37" s="82"/>
      <c r="Q37" s="90"/>
      <c r="R37" s="82"/>
      <c r="T37" s="82"/>
      <c r="U37" s="82">
        <v>26</v>
      </c>
      <c r="V37" s="125">
        <v>17</v>
      </c>
      <c r="W37" s="158" t="s">
        <v>110</v>
      </c>
      <c r="X37" s="158"/>
      <c r="Y37" s="158"/>
    </row>
    <row r="38" spans="2:25" ht="14.25" x14ac:dyDescent="0.2">
      <c r="B38" s="38" t="s">
        <v>58</v>
      </c>
      <c r="I38" s="16"/>
      <c r="J38" s="82"/>
      <c r="K38" s="82"/>
      <c r="L38" s="81"/>
      <c r="M38" s="81"/>
      <c r="N38" s="81"/>
      <c r="O38" s="81"/>
      <c r="P38" s="81"/>
      <c r="Q38" s="81"/>
      <c r="R38" s="81"/>
      <c r="T38" s="81"/>
      <c r="U38" s="82">
        <v>10</v>
      </c>
      <c r="V38" s="125">
        <v>6</v>
      </c>
      <c r="W38" s="158" t="s">
        <v>110</v>
      </c>
      <c r="X38" s="158"/>
      <c r="Y38" s="158"/>
    </row>
    <row r="39" spans="2:25" x14ac:dyDescent="0.2">
      <c r="B39" s="38"/>
      <c r="I39" s="16"/>
      <c r="J39" s="82"/>
      <c r="K39" s="82"/>
      <c r="L39" s="81"/>
      <c r="M39" s="81"/>
      <c r="N39" s="81"/>
      <c r="O39" s="81"/>
      <c r="P39" s="81"/>
      <c r="Q39" s="81"/>
      <c r="R39" s="81"/>
      <c r="T39" s="81"/>
      <c r="U39" s="82"/>
      <c r="W39" s="29"/>
      <c r="X39" s="29"/>
      <c r="Y39" s="29"/>
    </row>
    <row r="40" spans="2:25" ht="14.25" x14ac:dyDescent="0.2">
      <c r="B40" s="163" t="s">
        <v>192</v>
      </c>
      <c r="I40" s="16"/>
      <c r="J40" s="82"/>
      <c r="K40" s="82"/>
      <c r="L40" s="81"/>
      <c r="M40" s="81"/>
      <c r="N40" s="81"/>
      <c r="O40" s="81"/>
      <c r="P40" s="81"/>
      <c r="Q40" s="81"/>
      <c r="R40" s="81"/>
      <c r="T40" s="81"/>
      <c r="U40" s="84">
        <f>SUM(U41:U42)</f>
        <v>36</v>
      </c>
      <c r="V40" s="84">
        <f>SUM(V41:V42)</f>
        <v>23</v>
      </c>
      <c r="W40" s="158" t="s">
        <v>110</v>
      </c>
      <c r="X40" s="158"/>
      <c r="Y40" s="158"/>
    </row>
    <row r="41" spans="2:25" ht="14.25" x14ac:dyDescent="0.2">
      <c r="B41" s="38" t="s">
        <v>27</v>
      </c>
      <c r="I41" s="16"/>
      <c r="J41" s="82"/>
      <c r="K41" s="82"/>
      <c r="L41" s="81"/>
      <c r="M41" s="81"/>
      <c r="N41" s="81"/>
      <c r="O41" s="81"/>
      <c r="P41" s="81"/>
      <c r="Q41" s="81"/>
      <c r="R41" s="81"/>
      <c r="T41" s="81"/>
      <c r="U41" s="82">
        <v>25</v>
      </c>
      <c r="V41" s="125">
        <v>17</v>
      </c>
      <c r="W41" s="158" t="s">
        <v>110</v>
      </c>
      <c r="X41" s="158"/>
      <c r="Y41" s="158"/>
    </row>
    <row r="42" spans="2:25" ht="14.25" x14ac:dyDescent="0.2">
      <c r="B42" s="38" t="s">
        <v>26</v>
      </c>
      <c r="I42" s="16"/>
      <c r="J42" s="82"/>
      <c r="K42" s="82"/>
      <c r="L42" s="81"/>
      <c r="M42" s="81"/>
      <c r="N42" s="81"/>
      <c r="O42" s="81"/>
      <c r="P42" s="81"/>
      <c r="Q42" s="81"/>
      <c r="R42" s="81"/>
      <c r="T42" s="81"/>
      <c r="U42" s="82">
        <v>11</v>
      </c>
      <c r="V42" s="125">
        <v>6</v>
      </c>
      <c r="W42" s="158" t="s">
        <v>110</v>
      </c>
      <c r="X42" s="158"/>
      <c r="Y42" s="158"/>
    </row>
    <row r="43" spans="2:25" x14ac:dyDescent="0.2">
      <c r="B43" s="38"/>
      <c r="I43" s="16"/>
      <c r="J43" s="82"/>
      <c r="K43" s="82"/>
      <c r="L43" s="81"/>
      <c r="M43" s="81"/>
      <c r="N43" s="81"/>
      <c r="O43" s="81"/>
      <c r="P43" s="81"/>
      <c r="Q43" s="81"/>
      <c r="R43" s="81"/>
      <c r="T43" s="81"/>
    </row>
    <row r="44" spans="2:25" ht="12.75" hidden="1" customHeight="1" outlineLevel="1" x14ac:dyDescent="0.2">
      <c r="B44" s="34" t="s">
        <v>57</v>
      </c>
      <c r="C44" s="16">
        <v>0</v>
      </c>
      <c r="D44" s="16"/>
      <c r="E44" s="16"/>
      <c r="F44" s="16"/>
      <c r="G44" s="16">
        <v>8</v>
      </c>
      <c r="H44" s="16">
        <v>7</v>
      </c>
      <c r="I44" s="16"/>
      <c r="J44" s="82"/>
      <c r="K44" s="82"/>
      <c r="L44" s="81"/>
      <c r="M44" s="81"/>
      <c r="N44" s="81"/>
      <c r="O44" s="81"/>
      <c r="P44" s="82"/>
      <c r="Q44" s="83" t="s">
        <v>111</v>
      </c>
      <c r="R44" s="87"/>
      <c r="T44" s="87" t="s">
        <v>115</v>
      </c>
      <c r="V44" s="83" t="s">
        <v>110</v>
      </c>
      <c r="W44" s="83" t="s">
        <v>110</v>
      </c>
      <c r="X44" s="83"/>
      <c r="Y44" s="83"/>
    </row>
    <row r="45" spans="2:25" ht="12.75" hidden="1" customHeight="1" outlineLevel="1" x14ac:dyDescent="0.2">
      <c r="B45" s="34" t="s">
        <v>58</v>
      </c>
      <c r="C45" s="16">
        <v>0</v>
      </c>
      <c r="D45" s="16"/>
      <c r="E45" s="16"/>
      <c r="F45" s="16"/>
      <c r="G45" s="16"/>
      <c r="H45" s="16">
        <v>7</v>
      </c>
      <c r="I45" s="16"/>
      <c r="J45" s="82"/>
      <c r="K45" s="82"/>
      <c r="L45" s="81"/>
      <c r="M45" s="81"/>
      <c r="N45" s="81"/>
      <c r="O45" s="81"/>
      <c r="P45" s="82"/>
      <c r="Q45" s="83" t="s">
        <v>110</v>
      </c>
      <c r="R45" s="87"/>
      <c r="T45" s="87" t="s">
        <v>115</v>
      </c>
      <c r="V45" s="83" t="s">
        <v>110</v>
      </c>
      <c r="W45" s="83" t="s">
        <v>110</v>
      </c>
      <c r="X45" s="83"/>
      <c r="Y45" s="83"/>
    </row>
    <row r="46" spans="2:25" ht="12.75" hidden="1" customHeight="1" outlineLevel="1" x14ac:dyDescent="0.2">
      <c r="B46" s="6" t="s">
        <v>8</v>
      </c>
      <c r="C46" s="16">
        <v>0</v>
      </c>
      <c r="D46" s="16"/>
      <c r="E46" s="16"/>
      <c r="F46" s="16"/>
      <c r="G46" s="16"/>
      <c r="H46" s="16"/>
      <c r="I46" s="16"/>
      <c r="J46" s="82"/>
      <c r="K46" s="82"/>
      <c r="L46" s="81"/>
      <c r="M46" s="81"/>
      <c r="N46" s="81"/>
      <c r="O46" s="81"/>
      <c r="P46" s="82"/>
      <c r="Q46" s="83" t="s">
        <v>110</v>
      </c>
      <c r="R46" s="87"/>
      <c r="T46" s="87" t="s">
        <v>115</v>
      </c>
      <c r="V46" s="83" t="s">
        <v>110</v>
      </c>
      <c r="W46" s="83" t="s">
        <v>110</v>
      </c>
      <c r="X46" s="83"/>
      <c r="Y46" s="83"/>
    </row>
    <row r="47" spans="2:25" ht="12.75" hidden="1" customHeight="1" outlineLevel="1" x14ac:dyDescent="0.2">
      <c r="B47" s="6" t="s">
        <v>9</v>
      </c>
      <c r="C47" s="16">
        <v>0</v>
      </c>
      <c r="D47" s="16"/>
      <c r="E47" s="16"/>
      <c r="F47" s="16"/>
      <c r="G47" s="16"/>
      <c r="H47" s="16"/>
      <c r="I47" s="16"/>
      <c r="J47" s="82"/>
      <c r="K47" s="82"/>
      <c r="L47" s="81"/>
      <c r="M47" s="81"/>
      <c r="N47" s="81"/>
      <c r="O47" s="81"/>
      <c r="P47" s="82"/>
      <c r="Q47" s="83" t="s">
        <v>110</v>
      </c>
      <c r="R47" s="87"/>
      <c r="T47" s="87" t="s">
        <v>115</v>
      </c>
      <c r="V47" s="83" t="s">
        <v>110</v>
      </c>
      <c r="W47" s="83" t="s">
        <v>110</v>
      </c>
      <c r="X47" s="83"/>
      <c r="Y47" s="83"/>
    </row>
    <row r="48" spans="2:25" ht="14.25" hidden="1" x14ac:dyDescent="0.2">
      <c r="C48" s="16"/>
      <c r="D48" s="16"/>
      <c r="E48" s="16"/>
      <c r="F48" s="16"/>
      <c r="G48" s="16"/>
      <c r="H48" s="16"/>
      <c r="I48" s="16"/>
      <c r="J48" s="82"/>
      <c r="K48" s="82"/>
      <c r="L48" s="81"/>
      <c r="M48" s="81"/>
      <c r="N48" s="81"/>
      <c r="O48" s="81"/>
      <c r="P48" s="82"/>
      <c r="Q48" s="83" t="s">
        <v>110</v>
      </c>
      <c r="R48" s="87"/>
      <c r="T48" s="87" t="s">
        <v>115</v>
      </c>
      <c r="V48" s="83" t="s">
        <v>110</v>
      </c>
      <c r="W48" s="83" t="s">
        <v>110</v>
      </c>
      <c r="X48" s="83"/>
      <c r="Y48" s="83"/>
    </row>
    <row r="49" spans="1:25" s="4" customFormat="1" x14ac:dyDescent="0.2">
      <c r="B49" s="71" t="s">
        <v>63</v>
      </c>
      <c r="C49" s="42"/>
      <c r="D49" s="42">
        <v>6</v>
      </c>
      <c r="E49" s="42">
        <v>6</v>
      </c>
      <c r="F49" s="42">
        <v>6</v>
      </c>
      <c r="G49" s="42">
        <v>6</v>
      </c>
      <c r="H49" s="42">
        <v>6</v>
      </c>
      <c r="I49" s="42">
        <v>7</v>
      </c>
      <c r="J49" s="84">
        <f t="shared" ref="J49:P49" si="3">SUM(J51+J50)</f>
        <v>7</v>
      </c>
      <c r="K49" s="84">
        <f t="shared" si="3"/>
        <v>8</v>
      </c>
      <c r="L49" s="84">
        <f t="shared" si="3"/>
        <v>8</v>
      </c>
      <c r="M49" s="84">
        <f t="shared" si="3"/>
        <v>9</v>
      </c>
      <c r="N49" s="84">
        <f t="shared" si="3"/>
        <v>10</v>
      </c>
      <c r="O49" s="84">
        <f t="shared" si="3"/>
        <v>10</v>
      </c>
      <c r="P49" s="84">
        <f t="shared" si="3"/>
        <v>11</v>
      </c>
      <c r="Q49" s="84">
        <f>SUM(Q50:Q51)</f>
        <v>10</v>
      </c>
      <c r="R49" s="84">
        <f>SUM(R50:R51)</f>
        <v>12</v>
      </c>
      <c r="T49" s="84">
        <f>SUM(T50:T51)</f>
        <v>12</v>
      </c>
      <c r="U49" s="84">
        <f>SUM(U50:U51)</f>
        <v>12</v>
      </c>
      <c r="V49" s="84">
        <f>SUM(V50:V51)</f>
        <v>12</v>
      </c>
      <c r="W49" s="84">
        <f>SUM(W50:W51)</f>
        <v>12</v>
      </c>
      <c r="X49" s="84"/>
      <c r="Y49" s="84"/>
    </row>
    <row r="50" spans="1:25" s="4" customFormat="1" x14ac:dyDescent="0.2">
      <c r="B50" s="55" t="s">
        <v>27</v>
      </c>
      <c r="C50" s="16">
        <v>1</v>
      </c>
      <c r="D50" s="16">
        <v>1</v>
      </c>
      <c r="E50" s="16">
        <v>2</v>
      </c>
      <c r="F50" s="16">
        <v>2</v>
      </c>
      <c r="G50" s="16">
        <v>2</v>
      </c>
      <c r="H50" s="16">
        <v>2</v>
      </c>
      <c r="I50" s="16">
        <v>2</v>
      </c>
      <c r="J50" s="82">
        <v>2</v>
      </c>
      <c r="K50" s="82">
        <v>3</v>
      </c>
      <c r="L50" s="81">
        <v>3</v>
      </c>
      <c r="M50" s="81">
        <v>4</v>
      </c>
      <c r="N50" s="82">
        <v>5</v>
      </c>
      <c r="O50" s="82">
        <v>5</v>
      </c>
      <c r="P50" s="82">
        <v>6</v>
      </c>
      <c r="Q50" s="82">
        <v>6</v>
      </c>
      <c r="R50" s="82">
        <v>7</v>
      </c>
      <c r="T50" s="82">
        <v>7</v>
      </c>
      <c r="U50" s="82">
        <v>6</v>
      </c>
      <c r="V50" s="82">
        <v>6</v>
      </c>
      <c r="W50" s="82">
        <v>4</v>
      </c>
      <c r="X50" s="82"/>
      <c r="Y50" s="82"/>
    </row>
    <row r="51" spans="1:25" x14ac:dyDescent="0.2">
      <c r="B51" s="55" t="s">
        <v>26</v>
      </c>
      <c r="C51" s="16">
        <v>5</v>
      </c>
      <c r="D51" s="16">
        <v>5</v>
      </c>
      <c r="E51" s="16">
        <v>4</v>
      </c>
      <c r="F51" s="16">
        <v>4</v>
      </c>
      <c r="G51" s="16">
        <v>4</v>
      </c>
      <c r="H51" s="16">
        <v>4</v>
      </c>
      <c r="I51" s="16">
        <v>5</v>
      </c>
      <c r="J51" s="82">
        <v>5</v>
      </c>
      <c r="K51" s="82">
        <v>5</v>
      </c>
      <c r="L51" s="81">
        <v>5</v>
      </c>
      <c r="M51" s="81">
        <v>5</v>
      </c>
      <c r="N51" s="82">
        <v>5</v>
      </c>
      <c r="O51" s="82">
        <v>5</v>
      </c>
      <c r="P51" s="82">
        <v>5</v>
      </c>
      <c r="Q51" s="82">
        <v>4</v>
      </c>
      <c r="R51" s="82">
        <v>5</v>
      </c>
      <c r="T51" s="82">
        <v>5</v>
      </c>
      <c r="U51" s="82">
        <v>6</v>
      </c>
      <c r="V51" s="82">
        <v>6</v>
      </c>
      <c r="W51" s="82">
        <v>8</v>
      </c>
      <c r="X51" s="82"/>
      <c r="Y51" s="82"/>
    </row>
    <row r="53" spans="1:25" x14ac:dyDescent="0.2">
      <c r="A53" s="19"/>
      <c r="B53" s="2"/>
      <c r="C53" s="2"/>
      <c r="D53" s="2"/>
      <c r="E53" s="2"/>
      <c r="F53" s="2"/>
      <c r="G53" s="2"/>
      <c r="H53" s="2"/>
      <c r="I53" s="2"/>
      <c r="J53" s="2"/>
      <c r="K53" s="2"/>
      <c r="L53" s="2"/>
      <c r="M53" s="2"/>
      <c r="N53" s="2"/>
      <c r="O53" s="2"/>
      <c r="P53" s="2"/>
      <c r="Q53" s="2"/>
      <c r="R53" s="2"/>
      <c r="S53" s="2"/>
      <c r="T53" s="2"/>
      <c r="U53" s="2"/>
      <c r="V53" s="2"/>
      <c r="W53" s="2"/>
      <c r="X53" s="2"/>
      <c r="Y53" s="2"/>
    </row>
    <row r="54" spans="1:25" x14ac:dyDescent="0.2">
      <c r="A54" s="19"/>
      <c r="B54" s="162" t="s">
        <v>199</v>
      </c>
      <c r="C54" s="19"/>
      <c r="D54" s="19"/>
      <c r="E54" s="19"/>
      <c r="F54" s="19"/>
      <c r="G54" s="19"/>
      <c r="H54" s="19"/>
      <c r="I54" s="19"/>
      <c r="J54" s="19"/>
      <c r="K54" s="19"/>
      <c r="L54" s="19"/>
      <c r="M54" s="19"/>
      <c r="N54" s="19"/>
      <c r="O54" s="19"/>
      <c r="P54" s="19"/>
      <c r="Q54" s="19"/>
      <c r="R54" s="19"/>
      <c r="S54" s="19"/>
      <c r="T54" s="19"/>
      <c r="U54" s="19"/>
      <c r="V54" s="19"/>
      <c r="W54" s="19"/>
    </row>
    <row r="56" spans="1:25" x14ac:dyDescent="0.2">
      <c r="C56" s="60"/>
      <c r="D56" s="60"/>
      <c r="E56" s="60"/>
      <c r="F56" s="60"/>
      <c r="G56" s="60"/>
      <c r="H56" s="60"/>
      <c r="I56" s="60"/>
      <c r="J56" s="60"/>
      <c r="K56" s="60"/>
      <c r="L56" s="60"/>
      <c r="M56" s="60"/>
      <c r="N56" s="60"/>
      <c r="S56" s="81" t="s">
        <v>1</v>
      </c>
    </row>
    <row r="62" spans="1:25" x14ac:dyDescent="0.2">
      <c r="A62" s="11"/>
      <c r="B62" s="11"/>
      <c r="C62" s="11"/>
      <c r="D62" s="11"/>
      <c r="E62" s="11"/>
      <c r="F62" s="11"/>
      <c r="G62" s="11"/>
      <c r="H62" s="11"/>
      <c r="I62" s="11"/>
      <c r="J62" s="11"/>
      <c r="K62" s="11"/>
      <c r="L62" s="11"/>
      <c r="M62" s="11"/>
    </row>
    <row r="63" spans="1:25" s="59" customFormat="1" ht="9" customHeight="1" x14ac:dyDescent="0.2"/>
    <row r="64" spans="1:25" x14ac:dyDescent="0.2">
      <c r="A64" s="723" t="e">
        <f>'3.06a'!A69:L69+1</f>
        <v>#VALUE!</v>
      </c>
      <c r="B64" s="723"/>
      <c r="C64" s="723"/>
      <c r="D64" s="723"/>
      <c r="E64" s="723"/>
      <c r="F64" s="723"/>
      <c r="G64" s="723"/>
      <c r="H64" s="723"/>
      <c r="I64" s="723"/>
      <c r="J64" s="723"/>
      <c r="K64" s="723"/>
      <c r="L64" s="723"/>
      <c r="M64" s="723"/>
      <c r="N64" s="723"/>
      <c r="O64" s="723"/>
      <c r="P64" s="723"/>
      <c r="Q64" s="723"/>
      <c r="R64" s="723"/>
      <c r="S64" s="723"/>
      <c r="T64" s="723"/>
      <c r="U64" s="723"/>
      <c r="V64" s="723"/>
      <c r="W64" s="723"/>
    </row>
  </sheetData>
  <mergeCells count="3">
    <mergeCell ref="M4:W4"/>
    <mergeCell ref="B8:W8"/>
    <mergeCell ref="A64:W64"/>
  </mergeCells>
  <phoneticPr fontId="0" type="noConversion"/>
  <pageMargins left="0.75" right="0.75" top="1" bottom="0.99" header="0.52" footer="0.5"/>
  <pageSetup scale="74" orientation="portrait" r:id="rId1"/>
  <headerFooter alignWithMargins="0"/>
  <drawing r:id="rId2"/>
  <legacyDrawing r:id="rId3"/>
  <oleObjects>
    <mc:AlternateContent xmlns:mc="http://schemas.openxmlformats.org/markup-compatibility/2006">
      <mc:Choice Requires="x14">
        <oleObject progId="MSPhotoEd.3" shapeId="6145" r:id="rId4">
          <objectPr defaultSize="0" autoPict="0" r:id="rId5">
            <anchor moveWithCells="1" sizeWithCells="1">
              <from>
                <xdr:col>0</xdr:col>
                <xdr:colOff>0</xdr:colOff>
                <xdr:row>1</xdr:row>
                <xdr:rowOff>57150</xdr:rowOff>
              </from>
              <to>
                <xdr:col>1</xdr:col>
                <xdr:colOff>66675</xdr:colOff>
                <xdr:row>2</xdr:row>
                <xdr:rowOff>95250</xdr:rowOff>
              </to>
            </anchor>
          </objectPr>
        </oleObject>
      </mc:Choice>
      <mc:Fallback>
        <oleObject progId="MSPhotoEd.3" shapeId="6145" r:id="rId4"/>
      </mc:Fallback>
    </mc:AlternateContent>
  </oleObjec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Y54"/>
  <sheetViews>
    <sheetView workbookViewId="0">
      <selection activeCell="R1" sqref="R1:R65536"/>
    </sheetView>
  </sheetViews>
  <sheetFormatPr defaultRowHeight="12.75" outlineLevelCol="1" x14ac:dyDescent="0.2"/>
  <cols>
    <col min="1" max="1" width="6.42578125" customWidth="1"/>
    <col min="2" max="2" width="1.7109375" customWidth="1"/>
    <col min="3" max="3" width="27.5703125" customWidth="1"/>
    <col min="4" max="4" width="0.42578125" customWidth="1"/>
    <col min="5" max="14" width="8.7109375" hidden="1" customWidth="1" outlineLevel="1"/>
    <col min="15" max="15" width="8.7109375" hidden="1" customWidth="1" collapsed="1"/>
    <col min="16" max="18" width="8.7109375" hidden="1" customWidth="1"/>
    <col min="19" max="20" width="8.7109375" customWidth="1"/>
    <col min="21" max="21" width="1.7109375" customWidth="1"/>
    <col min="22" max="22" width="8.7109375" customWidth="1"/>
    <col min="23" max="23" width="9" customWidth="1"/>
    <col min="24" max="25" width="8.42578125" customWidth="1"/>
  </cols>
  <sheetData>
    <row r="1" spans="1:25" ht="15.75" x14ac:dyDescent="0.25">
      <c r="A1" s="1" t="e">
        <f>#REF!</f>
        <v>#REF!</v>
      </c>
      <c r="B1" s="12" t="s">
        <v>64</v>
      </c>
      <c r="C1" s="11"/>
      <c r="D1" s="11"/>
      <c r="E1" s="11"/>
      <c r="F1" s="11"/>
      <c r="G1" s="11"/>
      <c r="H1" s="11"/>
      <c r="I1" s="11"/>
      <c r="J1" s="11"/>
      <c r="K1" s="11"/>
      <c r="L1" s="11"/>
      <c r="M1" s="11"/>
      <c r="N1" s="11"/>
      <c r="O1" s="11"/>
      <c r="P1" s="11"/>
      <c r="Q1" s="11"/>
      <c r="R1" s="11"/>
      <c r="S1" s="11"/>
      <c r="T1" s="11"/>
      <c r="U1" s="11"/>
      <c r="V1" s="11"/>
      <c r="W1" s="11"/>
    </row>
    <row r="3" spans="1:25" x14ac:dyDescent="0.2">
      <c r="W3" s="3"/>
    </row>
    <row r="4" spans="1:25" ht="14.25" x14ac:dyDescent="0.2">
      <c r="E4" s="21">
        <v>1980</v>
      </c>
      <c r="F4" s="21">
        <v>1981</v>
      </c>
      <c r="G4" s="21">
        <v>1982</v>
      </c>
      <c r="H4" s="21">
        <v>1983</v>
      </c>
      <c r="I4" s="21">
        <v>1984</v>
      </c>
      <c r="J4" s="21">
        <v>1985</v>
      </c>
      <c r="K4" s="21">
        <v>1986</v>
      </c>
      <c r="L4" s="21">
        <v>1987</v>
      </c>
      <c r="M4" s="21">
        <v>1988</v>
      </c>
      <c r="N4" s="21">
        <v>1989</v>
      </c>
      <c r="O4" s="21">
        <v>1990</v>
      </c>
      <c r="P4" s="21">
        <v>1991</v>
      </c>
      <c r="Q4" s="21">
        <v>1992</v>
      </c>
      <c r="R4" s="21">
        <v>1993</v>
      </c>
      <c r="S4" s="21">
        <v>1994</v>
      </c>
      <c r="T4" s="21">
        <v>1995</v>
      </c>
      <c r="U4" s="41">
        <v>1</v>
      </c>
      <c r="V4" s="21">
        <v>1996</v>
      </c>
      <c r="W4" s="21">
        <v>1997</v>
      </c>
      <c r="X4" s="21">
        <v>1998</v>
      </c>
      <c r="Y4" s="21">
        <v>1999</v>
      </c>
    </row>
    <row r="6" spans="1:25" x14ac:dyDescent="0.2">
      <c r="D6" s="10" t="s">
        <v>77</v>
      </c>
      <c r="E6" s="11"/>
      <c r="F6" s="11"/>
      <c r="G6" s="11"/>
      <c r="H6" s="11"/>
      <c r="I6" s="11"/>
      <c r="J6" s="11"/>
      <c r="K6" s="11"/>
      <c r="L6" s="11"/>
      <c r="M6" s="11"/>
      <c r="N6" s="11"/>
      <c r="O6" s="11"/>
      <c r="P6" s="11"/>
      <c r="Q6" s="11"/>
      <c r="R6" s="11"/>
      <c r="S6" s="11"/>
      <c r="T6" s="11"/>
      <c r="U6" s="11"/>
      <c r="V6" s="11"/>
      <c r="W6" s="11"/>
    </row>
    <row r="9" spans="1:25" x14ac:dyDescent="0.2">
      <c r="B9" s="5" t="s">
        <v>65</v>
      </c>
    </row>
    <row r="10" spans="1:25" x14ac:dyDescent="0.2">
      <c r="C10" t="s">
        <v>66</v>
      </c>
      <c r="O10" s="16">
        <v>126</v>
      </c>
      <c r="P10" s="16">
        <v>101</v>
      </c>
      <c r="Q10" s="16">
        <v>122</v>
      </c>
      <c r="R10" s="16">
        <v>97</v>
      </c>
      <c r="S10" s="16">
        <v>104</v>
      </c>
      <c r="T10" s="16">
        <v>0</v>
      </c>
      <c r="U10" s="16"/>
      <c r="V10" s="16"/>
    </row>
    <row r="11" spans="1:25" x14ac:dyDescent="0.2">
      <c r="C11" t="s">
        <v>67</v>
      </c>
      <c r="O11" s="16">
        <v>77</v>
      </c>
      <c r="P11" s="16">
        <v>42</v>
      </c>
      <c r="Q11" s="16">
        <v>67</v>
      </c>
      <c r="R11" s="16">
        <v>58</v>
      </c>
      <c r="S11" s="16">
        <v>68</v>
      </c>
      <c r="T11" s="16">
        <v>0</v>
      </c>
      <c r="U11" s="16"/>
      <c r="V11" s="16"/>
    </row>
    <row r="12" spans="1:25" x14ac:dyDescent="0.2">
      <c r="C12" t="s">
        <v>68</v>
      </c>
      <c r="O12" s="16">
        <f>-(O11/O10*100)</f>
        <v>-61.111111111111114</v>
      </c>
      <c r="P12" s="16">
        <f>-(P11/P10*100)</f>
        <v>-41.584158415841586</v>
      </c>
      <c r="Q12" s="16">
        <f>-(Q11/Q10*100)</f>
        <v>-54.918032786885249</v>
      </c>
      <c r="R12" s="16">
        <f>-(R11/R10*100)</f>
        <v>-59.793814432989691</v>
      </c>
      <c r="S12" s="16">
        <f>-(S11/S10*100)</f>
        <v>-65.384615384615387</v>
      </c>
      <c r="T12" s="16" t="s">
        <v>1</v>
      </c>
      <c r="U12" s="16"/>
      <c r="V12" s="16"/>
    </row>
    <row r="13" spans="1:25" x14ac:dyDescent="0.2">
      <c r="O13" s="16"/>
      <c r="P13" s="16"/>
      <c r="Q13" s="16"/>
      <c r="R13" s="16"/>
      <c r="S13" s="16"/>
      <c r="T13" s="16"/>
      <c r="U13" s="16"/>
      <c r="V13" s="16"/>
    </row>
    <row r="14" spans="1:25" x14ac:dyDescent="0.2">
      <c r="B14" s="5" t="s">
        <v>69</v>
      </c>
      <c r="O14" s="16"/>
      <c r="P14" s="16"/>
      <c r="Q14" s="16"/>
      <c r="R14" s="16"/>
      <c r="S14" s="16"/>
      <c r="T14" s="16"/>
      <c r="U14" s="16"/>
      <c r="V14" s="16"/>
    </row>
    <row r="15" spans="1:25" x14ac:dyDescent="0.2">
      <c r="C15" t="s">
        <v>66</v>
      </c>
      <c r="O15" s="16">
        <v>57</v>
      </c>
      <c r="P15" s="16">
        <v>65</v>
      </c>
      <c r="Q15" s="16">
        <v>48</v>
      </c>
      <c r="R15" s="16">
        <v>58</v>
      </c>
      <c r="S15" s="16">
        <v>37</v>
      </c>
      <c r="T15" s="16">
        <v>0</v>
      </c>
      <c r="U15" s="16"/>
      <c r="V15" s="16"/>
    </row>
    <row r="16" spans="1:25" x14ac:dyDescent="0.2">
      <c r="C16" t="s">
        <v>70</v>
      </c>
      <c r="O16" s="16">
        <v>36</v>
      </c>
      <c r="P16" s="16">
        <v>38</v>
      </c>
      <c r="Q16" s="16">
        <v>24</v>
      </c>
      <c r="R16" s="16">
        <v>18</v>
      </c>
      <c r="S16" s="16">
        <v>25</v>
      </c>
      <c r="T16" s="16">
        <v>0</v>
      </c>
      <c r="U16" s="16"/>
      <c r="V16" s="16"/>
    </row>
    <row r="17" spans="2:22" x14ac:dyDescent="0.2">
      <c r="C17" t="s">
        <v>68</v>
      </c>
      <c r="O17" s="16">
        <f>-(O16/O15*100)</f>
        <v>-63.157894736842103</v>
      </c>
      <c r="P17" s="16">
        <f>-(P16/P15*100)</f>
        <v>-58.461538461538467</v>
      </c>
      <c r="Q17" s="16">
        <f>-(Q16/Q15*100)</f>
        <v>-50</v>
      </c>
      <c r="R17" s="16">
        <f>-(R16/R15*100)</f>
        <v>-31.03448275862069</v>
      </c>
      <c r="S17" s="16">
        <f>-(S16/S15*100)</f>
        <v>-67.567567567567565</v>
      </c>
      <c r="T17" s="16" t="s">
        <v>1</v>
      </c>
      <c r="U17" s="16"/>
      <c r="V17" s="16"/>
    </row>
    <row r="18" spans="2:22" x14ac:dyDescent="0.2">
      <c r="C18" t="s">
        <v>71</v>
      </c>
      <c r="O18" s="16">
        <v>46</v>
      </c>
      <c r="P18" s="16">
        <v>50</v>
      </c>
      <c r="Q18" s="16">
        <v>37</v>
      </c>
      <c r="R18" s="16">
        <v>36</v>
      </c>
      <c r="S18" s="16">
        <v>31</v>
      </c>
      <c r="T18" s="16"/>
      <c r="U18" s="16"/>
      <c r="V18" s="16"/>
    </row>
    <row r="19" spans="2:22" x14ac:dyDescent="0.2">
      <c r="C19" t="s">
        <v>68</v>
      </c>
      <c r="O19" s="16">
        <f>-(O18/O15*100)</f>
        <v>-80.701754385964904</v>
      </c>
      <c r="P19" s="16">
        <f>-(P18/P15*100)</f>
        <v>-76.923076923076934</v>
      </c>
      <c r="Q19" s="16">
        <f>-(Q18/Q15*100)</f>
        <v>-77.083333333333343</v>
      </c>
      <c r="R19" s="16">
        <f>-(R18/R15*100)</f>
        <v>-62.068965517241381</v>
      </c>
      <c r="S19" s="16">
        <f>-(S18/S15*100)</f>
        <v>-83.78378378378379</v>
      </c>
      <c r="T19" s="16" t="s">
        <v>1</v>
      </c>
      <c r="U19" s="16"/>
      <c r="V19" s="16"/>
    </row>
    <row r="20" spans="2:22" x14ac:dyDescent="0.2">
      <c r="O20" s="16"/>
      <c r="P20" s="16"/>
      <c r="Q20" s="16"/>
      <c r="R20" s="16"/>
      <c r="S20" s="16"/>
      <c r="T20" s="16"/>
      <c r="U20" s="16"/>
      <c r="V20" s="16"/>
    </row>
    <row r="21" spans="2:22" x14ac:dyDescent="0.2">
      <c r="B21" s="5" t="s">
        <v>72</v>
      </c>
      <c r="O21" s="16"/>
      <c r="P21" s="16"/>
      <c r="Q21" s="16"/>
      <c r="R21" s="16"/>
      <c r="S21" s="16"/>
      <c r="T21" s="16"/>
      <c r="U21" s="16"/>
      <c r="V21" s="16"/>
    </row>
    <row r="22" spans="2:22" x14ac:dyDescent="0.2">
      <c r="C22" t="s">
        <v>66</v>
      </c>
      <c r="O22" s="16">
        <v>1417</v>
      </c>
      <c r="P22" s="16">
        <v>1342</v>
      </c>
      <c r="Q22" s="16">
        <v>1419</v>
      </c>
      <c r="R22" s="16">
        <v>1250</v>
      </c>
      <c r="S22" s="16">
        <v>654</v>
      </c>
      <c r="T22" s="16"/>
      <c r="U22" s="16"/>
      <c r="V22" s="16"/>
    </row>
    <row r="23" spans="2:22" x14ac:dyDescent="0.2">
      <c r="C23" t="s">
        <v>70</v>
      </c>
      <c r="O23" s="16">
        <v>408</v>
      </c>
      <c r="P23" s="16">
        <v>398</v>
      </c>
      <c r="Q23" s="16">
        <v>498</v>
      </c>
      <c r="R23" s="16">
        <v>371</v>
      </c>
      <c r="S23" s="16">
        <v>437</v>
      </c>
      <c r="T23" s="16"/>
      <c r="U23" s="16"/>
      <c r="V23" s="16"/>
    </row>
    <row r="24" spans="2:22" x14ac:dyDescent="0.2">
      <c r="C24" t="s">
        <v>68</v>
      </c>
      <c r="O24" s="16">
        <f>-(O23/O22*100)</f>
        <v>-28.793225123500356</v>
      </c>
      <c r="P24" s="16">
        <f>-(P23/P22*100)</f>
        <v>-29.657228017883757</v>
      </c>
      <c r="Q24" s="16">
        <f>-(Q23/Q22*100)</f>
        <v>-35.095137420718814</v>
      </c>
      <c r="R24" s="16">
        <f>-(R23/R22*100)</f>
        <v>-29.68</v>
      </c>
      <c r="S24" s="16">
        <f>-(S23/S22*100)</f>
        <v>-66.819571865443422</v>
      </c>
      <c r="T24" s="16" t="s">
        <v>1</v>
      </c>
      <c r="U24" s="16"/>
      <c r="V24" s="16"/>
    </row>
    <row r="25" spans="2:22" x14ac:dyDescent="0.2">
      <c r="C25" t="s">
        <v>71</v>
      </c>
      <c r="O25" s="16">
        <v>1254</v>
      </c>
      <c r="P25" s="16">
        <v>1225</v>
      </c>
      <c r="Q25" s="16">
        <v>1335</v>
      </c>
      <c r="R25" s="16">
        <v>1151</v>
      </c>
      <c r="S25" s="16">
        <v>624</v>
      </c>
      <c r="T25" s="16"/>
      <c r="U25" s="16"/>
      <c r="V25" s="16"/>
    </row>
    <row r="26" spans="2:22" x14ac:dyDescent="0.2">
      <c r="C26" t="s">
        <v>68</v>
      </c>
      <c r="O26" s="16">
        <f>-(O25/O22*100)</f>
        <v>-88.496824276640794</v>
      </c>
      <c r="P26" s="16">
        <f>-(P25/P22*100)</f>
        <v>-91.281669150521608</v>
      </c>
      <c r="Q26" s="16">
        <f>-(Q25/Q22*100)</f>
        <v>-94.080338266384771</v>
      </c>
      <c r="R26" s="16">
        <f>-(R25/R22*100)</f>
        <v>-92.08</v>
      </c>
      <c r="S26" s="16">
        <f>-(S25/S22*100)</f>
        <v>-95.412844036697251</v>
      </c>
      <c r="T26" s="16" t="s">
        <v>1</v>
      </c>
      <c r="U26" s="16"/>
      <c r="V26" s="16"/>
    </row>
    <row r="27" spans="2:22" x14ac:dyDescent="0.2">
      <c r="O27" s="16"/>
      <c r="P27" s="16"/>
      <c r="Q27" s="16"/>
      <c r="R27" s="16"/>
      <c r="S27" s="16"/>
      <c r="T27" s="16"/>
      <c r="U27" s="16"/>
      <c r="V27" s="16"/>
    </row>
    <row r="28" spans="2:22" x14ac:dyDescent="0.2">
      <c r="B28" s="5" t="s">
        <v>73</v>
      </c>
      <c r="O28" s="16"/>
      <c r="P28" s="16"/>
      <c r="Q28" s="16"/>
      <c r="R28" s="16"/>
      <c r="S28" s="16"/>
      <c r="T28" s="16"/>
      <c r="U28" s="16"/>
      <c r="V28" s="16"/>
    </row>
    <row r="29" spans="2:22" x14ac:dyDescent="0.2">
      <c r="C29" t="s">
        <v>66</v>
      </c>
      <c r="O29" s="16">
        <v>498</v>
      </c>
      <c r="P29" s="16">
        <v>320</v>
      </c>
      <c r="Q29" s="16">
        <v>273</v>
      </c>
      <c r="R29" s="16">
        <v>341</v>
      </c>
      <c r="S29" s="16">
        <v>995</v>
      </c>
      <c r="T29" s="16"/>
      <c r="U29" s="16"/>
      <c r="V29" s="16"/>
    </row>
    <row r="30" spans="2:22" x14ac:dyDescent="0.2">
      <c r="C30" t="s">
        <v>67</v>
      </c>
      <c r="O30" s="16">
        <v>342</v>
      </c>
      <c r="P30" s="16">
        <v>280</v>
      </c>
      <c r="Q30" s="16">
        <v>268</v>
      </c>
      <c r="R30" s="16">
        <v>311</v>
      </c>
      <c r="S30" s="16">
        <v>947</v>
      </c>
      <c r="T30" s="16"/>
      <c r="U30" s="16"/>
      <c r="V30" s="16"/>
    </row>
    <row r="31" spans="2:22" x14ac:dyDescent="0.2">
      <c r="C31" t="s">
        <v>68</v>
      </c>
      <c r="O31" s="16">
        <f>-(O30/O29*100)</f>
        <v>-68.674698795180717</v>
      </c>
      <c r="P31" s="16">
        <f>-(P30/P29*100)</f>
        <v>-87.5</v>
      </c>
      <c r="Q31" s="16">
        <f>-(Q30/Q29*100)</f>
        <v>-98.168498168498161</v>
      </c>
      <c r="R31" s="16">
        <f>-(R30/R29*100)</f>
        <v>-91.202346041055719</v>
      </c>
      <c r="S31" s="16">
        <f>-(S30/S29*100)</f>
        <v>-95.175879396984925</v>
      </c>
      <c r="T31" s="16" t="s">
        <v>1</v>
      </c>
      <c r="U31" s="16"/>
      <c r="V31" s="16"/>
    </row>
    <row r="32" spans="2:22" x14ac:dyDescent="0.2">
      <c r="O32" s="16"/>
      <c r="P32" s="16"/>
      <c r="Q32" s="16"/>
      <c r="R32" s="16"/>
      <c r="S32" s="16"/>
      <c r="T32" s="16"/>
      <c r="U32" s="16"/>
      <c r="V32" s="16"/>
    </row>
    <row r="33" spans="1:23" x14ac:dyDescent="0.2">
      <c r="B33" s="5" t="s">
        <v>74</v>
      </c>
      <c r="O33" s="16"/>
      <c r="P33" s="16"/>
      <c r="Q33" s="16"/>
      <c r="R33" s="16"/>
      <c r="S33" s="16"/>
      <c r="T33" s="16"/>
      <c r="U33" s="16"/>
      <c r="V33" s="16"/>
    </row>
    <row r="34" spans="1:23" x14ac:dyDescent="0.2">
      <c r="C34" t="s">
        <v>75</v>
      </c>
      <c r="O34" s="16">
        <v>521</v>
      </c>
      <c r="P34" s="16">
        <v>478</v>
      </c>
      <c r="Q34" s="16">
        <v>589</v>
      </c>
      <c r="R34" s="16">
        <v>447</v>
      </c>
      <c r="S34" s="16">
        <v>530</v>
      </c>
    </row>
    <row r="35" spans="1:23" x14ac:dyDescent="0.2">
      <c r="C35" t="s">
        <v>76</v>
      </c>
      <c r="O35" s="16">
        <f t="shared" ref="O35:T35" si="0">O30+O25+O18+O11</f>
        <v>1719</v>
      </c>
      <c r="P35" s="16">
        <f t="shared" si="0"/>
        <v>1597</v>
      </c>
      <c r="Q35" s="16">
        <f t="shared" si="0"/>
        <v>1707</v>
      </c>
      <c r="R35" s="16">
        <f t="shared" si="0"/>
        <v>1556</v>
      </c>
      <c r="S35" s="16">
        <f t="shared" si="0"/>
        <v>1670</v>
      </c>
      <c r="T35" s="16">
        <f t="shared" si="0"/>
        <v>0</v>
      </c>
      <c r="U35" s="16"/>
      <c r="V35" s="16"/>
    </row>
    <row r="36" spans="1:23" x14ac:dyDescent="0.2">
      <c r="A36" s="2"/>
      <c r="B36" s="2"/>
      <c r="C36" s="2"/>
      <c r="D36" s="2"/>
      <c r="E36" s="2"/>
      <c r="F36" s="2"/>
      <c r="G36" s="2"/>
      <c r="H36" s="2"/>
      <c r="I36" s="2"/>
      <c r="J36" s="2"/>
      <c r="K36" s="2"/>
      <c r="L36" s="2"/>
      <c r="M36" s="2"/>
      <c r="N36" s="2"/>
      <c r="O36" s="2"/>
      <c r="P36" s="2"/>
      <c r="Q36" s="2"/>
      <c r="R36" s="2"/>
      <c r="S36" s="2"/>
      <c r="T36" s="2"/>
      <c r="U36" s="2"/>
      <c r="V36" s="2"/>
      <c r="W36" s="2"/>
    </row>
    <row r="38" spans="1:23" x14ac:dyDescent="0.2">
      <c r="A38" s="5" t="s">
        <v>20</v>
      </c>
    </row>
    <row r="39" spans="1:23" ht="14.25" x14ac:dyDescent="0.2">
      <c r="B39" s="25">
        <v>1</v>
      </c>
      <c r="C39" t="s">
        <v>78</v>
      </c>
    </row>
    <row r="52" spans="1:23" x14ac:dyDescent="0.2">
      <c r="A52" s="11" t="s">
        <v>10</v>
      </c>
      <c r="B52" s="11"/>
      <c r="C52" s="11"/>
      <c r="D52" s="11"/>
      <c r="E52" s="11"/>
      <c r="F52" s="11"/>
      <c r="G52" s="11"/>
      <c r="H52" s="11"/>
      <c r="I52" s="11"/>
      <c r="J52" s="11"/>
      <c r="K52" s="11"/>
      <c r="L52" s="11"/>
      <c r="M52" s="11"/>
      <c r="N52" s="11"/>
      <c r="O52" s="11"/>
      <c r="P52" s="11"/>
      <c r="Q52" s="11"/>
      <c r="R52" s="11"/>
      <c r="S52" s="11"/>
      <c r="T52" s="11"/>
      <c r="U52" s="11"/>
      <c r="V52" s="11"/>
      <c r="W52" s="11"/>
    </row>
    <row r="53" spans="1:23" x14ac:dyDescent="0.2">
      <c r="A53" s="11"/>
      <c r="B53" s="11"/>
      <c r="C53" s="11"/>
      <c r="D53" s="11"/>
      <c r="E53" s="11"/>
      <c r="F53" s="11"/>
      <c r="G53" s="11"/>
      <c r="H53" s="11"/>
      <c r="I53" s="11"/>
      <c r="J53" s="11"/>
      <c r="K53" s="11"/>
      <c r="L53" s="11"/>
      <c r="M53" s="11"/>
      <c r="N53" s="11"/>
      <c r="O53" s="11"/>
      <c r="P53" s="11"/>
      <c r="Q53" s="11"/>
      <c r="R53" s="11"/>
      <c r="S53" s="11"/>
      <c r="T53" s="11"/>
      <c r="U53" s="11"/>
      <c r="V53" s="11"/>
      <c r="W53" s="11"/>
    </row>
    <row r="54" spans="1:23" x14ac:dyDescent="0.2">
      <c r="A54" s="20" t="e">
        <f>#REF!+1</f>
        <v>#REF!</v>
      </c>
      <c r="B54" s="11"/>
      <c r="C54" s="11"/>
      <c r="D54" s="11"/>
      <c r="E54" s="11"/>
      <c r="F54" s="11"/>
      <c r="G54" s="11"/>
      <c r="H54" s="11"/>
      <c r="I54" s="11"/>
      <c r="J54" s="11"/>
      <c r="K54" s="11"/>
      <c r="L54" s="11"/>
      <c r="M54" s="11"/>
      <c r="N54" s="11"/>
      <c r="O54" s="11"/>
      <c r="P54" s="11"/>
      <c r="Q54" s="11"/>
      <c r="R54" s="11"/>
      <c r="S54" s="11"/>
      <c r="T54" s="11"/>
      <c r="U54" s="11"/>
      <c r="V54" s="11"/>
      <c r="W54" s="11"/>
    </row>
  </sheetData>
  <phoneticPr fontId="0" type="noConversion"/>
  <printOptions horizontalCentered="1"/>
  <pageMargins left="1" right="1" top="1" bottom="0.5" header="0.5" footer="0.5"/>
  <pageSetup scale="94"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O57"/>
  <sheetViews>
    <sheetView zoomScaleNormal="100" zoomScaleSheetLayoutView="86" workbookViewId="0">
      <selection activeCell="J14" sqref="J14"/>
    </sheetView>
  </sheetViews>
  <sheetFormatPr defaultRowHeight="12.75" x14ac:dyDescent="0.2"/>
  <cols>
    <col min="1" max="1" width="9.140625" style="29"/>
    <col min="2" max="2" width="6.42578125" style="29" customWidth="1"/>
    <col min="3" max="3" width="32.7109375" style="29" customWidth="1"/>
    <col min="4" max="4" width="10.85546875" style="29" customWidth="1"/>
    <col min="5" max="16384" width="9.140625" style="29"/>
  </cols>
  <sheetData>
    <row r="2" spans="2:12" x14ac:dyDescent="0.2">
      <c r="H2" s="619" t="s">
        <v>374</v>
      </c>
    </row>
    <row r="4" spans="2:12" ht="15" x14ac:dyDescent="0.25">
      <c r="D4" s="403"/>
    </row>
    <row r="6" spans="2:12" ht="12.75" customHeight="1" x14ac:dyDescent="0.2">
      <c r="C6" s="447"/>
    </row>
    <row r="7" spans="2:12" ht="15.75" x14ac:dyDescent="0.25">
      <c r="B7" s="406">
        <v>3.05</v>
      </c>
      <c r="C7" s="449" t="s">
        <v>375</v>
      </c>
      <c r="D7" s="449"/>
    </row>
    <row r="8" spans="2:12" ht="12.75" customHeight="1" x14ac:dyDescent="0.2">
      <c r="B8" s="619"/>
      <c r="C8" s="620"/>
    </row>
    <row r="9" spans="2:12" x14ac:dyDescent="0.2">
      <c r="D9" s="64"/>
      <c r="E9" s="50"/>
    </row>
    <row r="10" spans="2:12" x14ac:dyDescent="0.2">
      <c r="C10" s="623" t="s">
        <v>134</v>
      </c>
      <c r="D10" s="624">
        <v>2011</v>
      </c>
      <c r="E10" s="623">
        <v>2012</v>
      </c>
      <c r="F10" s="623">
        <v>2013</v>
      </c>
      <c r="G10" s="623">
        <v>2014</v>
      </c>
      <c r="H10" s="623">
        <v>2015</v>
      </c>
      <c r="I10" s="623">
        <v>2016</v>
      </c>
      <c r="J10" s="623">
        <v>2017</v>
      </c>
      <c r="K10" s="623">
        <v>2018</v>
      </c>
      <c r="L10" s="623">
        <v>2019</v>
      </c>
    </row>
    <row r="11" spans="2:12" x14ac:dyDescent="0.2">
      <c r="F11" s="50"/>
      <c r="G11" s="50"/>
      <c r="H11" s="50"/>
      <c r="I11" s="50"/>
      <c r="J11" s="50"/>
      <c r="K11" s="50"/>
      <c r="L11" s="50"/>
    </row>
    <row r="12" spans="2:12" x14ac:dyDescent="0.2">
      <c r="C12" s="619" t="s">
        <v>135</v>
      </c>
      <c r="D12" s="625">
        <v>128</v>
      </c>
      <c r="E12" s="625">
        <v>123</v>
      </c>
      <c r="F12" s="626">
        <v>135</v>
      </c>
      <c r="G12" s="626">
        <v>139</v>
      </c>
      <c r="H12" s="626">
        <v>129</v>
      </c>
      <c r="I12" s="626">
        <v>154</v>
      </c>
      <c r="J12" s="626">
        <v>137</v>
      </c>
      <c r="K12" s="626">
        <v>137</v>
      </c>
      <c r="L12" s="626">
        <v>157</v>
      </c>
    </row>
    <row r="13" spans="2:12" x14ac:dyDescent="0.2">
      <c r="C13" s="627" t="s">
        <v>136</v>
      </c>
      <c r="D13" s="628">
        <v>47</v>
      </c>
      <c r="E13" s="628">
        <v>28</v>
      </c>
      <c r="F13" s="50">
        <v>35</v>
      </c>
      <c r="G13" s="50">
        <v>42</v>
      </c>
      <c r="H13" s="50">
        <v>52</v>
      </c>
      <c r="I13" s="50">
        <v>62</v>
      </c>
      <c r="J13" s="50">
        <v>40</v>
      </c>
      <c r="K13" s="50">
        <v>47</v>
      </c>
      <c r="L13" s="50">
        <v>57</v>
      </c>
    </row>
    <row r="14" spans="2:12" x14ac:dyDescent="0.2">
      <c r="C14" s="627" t="s">
        <v>137</v>
      </c>
      <c r="D14" s="628">
        <v>81</v>
      </c>
      <c r="E14" s="628">
        <v>95</v>
      </c>
      <c r="F14" s="50">
        <v>100</v>
      </c>
      <c r="G14" s="50">
        <v>97</v>
      </c>
      <c r="H14" s="50">
        <v>77</v>
      </c>
      <c r="I14" s="50">
        <v>92</v>
      </c>
      <c r="J14" s="50">
        <v>97</v>
      </c>
      <c r="K14" s="50">
        <v>90</v>
      </c>
      <c r="L14" s="50">
        <v>100</v>
      </c>
    </row>
    <row r="15" spans="2:12" x14ac:dyDescent="0.2">
      <c r="C15" s="299"/>
      <c r="F15" s="50"/>
      <c r="G15" s="50"/>
      <c r="H15" s="50"/>
      <c r="I15" s="50"/>
      <c r="J15" s="50"/>
      <c r="K15" s="50"/>
      <c r="L15" s="50"/>
    </row>
    <row r="16" spans="2:12" x14ac:dyDescent="0.2">
      <c r="C16" s="619" t="s">
        <v>125</v>
      </c>
      <c r="D16" s="625">
        <v>772</v>
      </c>
      <c r="E16" s="625">
        <v>724</v>
      </c>
      <c r="F16" s="626">
        <v>659</v>
      </c>
      <c r="G16" s="626">
        <v>745</v>
      </c>
      <c r="H16" s="626">
        <v>722</v>
      </c>
      <c r="I16" s="626">
        <v>738</v>
      </c>
      <c r="J16" s="626">
        <v>759</v>
      </c>
      <c r="K16" s="626">
        <v>729</v>
      </c>
      <c r="L16" s="626">
        <v>769</v>
      </c>
    </row>
    <row r="17" spans="3:13" x14ac:dyDescent="0.2">
      <c r="C17" s="627" t="s">
        <v>136</v>
      </c>
      <c r="D17" s="628">
        <v>298</v>
      </c>
      <c r="E17" s="628">
        <v>379</v>
      </c>
      <c r="F17" s="50">
        <v>407</v>
      </c>
      <c r="G17" s="50">
        <v>264</v>
      </c>
      <c r="H17" s="50">
        <v>220</v>
      </c>
      <c r="I17" s="50">
        <v>316</v>
      </c>
      <c r="J17" s="50">
        <v>334</v>
      </c>
      <c r="K17" s="50">
        <v>349</v>
      </c>
      <c r="L17" s="50">
        <v>334</v>
      </c>
    </row>
    <row r="18" spans="3:13" x14ac:dyDescent="0.2">
      <c r="C18" s="627" t="s">
        <v>137</v>
      </c>
      <c r="D18" s="628">
        <v>474</v>
      </c>
      <c r="E18" s="628">
        <v>345</v>
      </c>
      <c r="F18" s="50">
        <v>252</v>
      </c>
      <c r="G18" s="50">
        <v>481</v>
      </c>
      <c r="H18" s="50">
        <v>502</v>
      </c>
      <c r="I18" s="50">
        <v>422</v>
      </c>
      <c r="J18" s="50">
        <v>425</v>
      </c>
      <c r="K18" s="50">
        <v>380</v>
      </c>
      <c r="L18" s="50">
        <v>435</v>
      </c>
    </row>
    <row r="19" spans="3:13" x14ac:dyDescent="0.2">
      <c r="C19" s="627"/>
      <c r="F19" s="50"/>
      <c r="G19" s="50"/>
      <c r="H19" s="50"/>
      <c r="I19" s="50"/>
      <c r="J19" s="50"/>
      <c r="K19" s="50"/>
      <c r="L19" s="50"/>
      <c r="M19" s="619"/>
    </row>
    <row r="20" spans="3:13" ht="14.25" x14ac:dyDescent="0.2">
      <c r="C20" s="629" t="s">
        <v>185</v>
      </c>
      <c r="D20" s="625">
        <v>67</v>
      </c>
      <c r="E20" s="625">
        <v>69</v>
      </c>
      <c r="F20" s="621">
        <v>49</v>
      </c>
      <c r="G20" s="621">
        <v>74</v>
      </c>
      <c r="H20" s="621">
        <v>65</v>
      </c>
      <c r="I20" s="621">
        <v>85</v>
      </c>
      <c r="J20" s="621">
        <v>94</v>
      </c>
      <c r="K20" s="621">
        <v>92</v>
      </c>
      <c r="L20" s="621">
        <v>114</v>
      </c>
    </row>
    <row r="21" spans="3:13" ht="14.25" x14ac:dyDescent="0.2">
      <c r="C21" s="627" t="s">
        <v>376</v>
      </c>
      <c r="D21" s="628">
        <v>13</v>
      </c>
      <c r="E21" s="628">
        <v>11</v>
      </c>
      <c r="F21" s="63">
        <v>15</v>
      </c>
      <c r="G21" s="63">
        <v>18</v>
      </c>
      <c r="H21" s="63">
        <v>13</v>
      </c>
      <c r="I21" s="63">
        <v>13</v>
      </c>
      <c r="J21" s="63">
        <v>16</v>
      </c>
      <c r="K21" s="63">
        <v>23</v>
      </c>
      <c r="L21" s="63">
        <v>20</v>
      </c>
    </row>
    <row r="22" spans="3:13" x14ac:dyDescent="0.2">
      <c r="C22" s="627" t="s">
        <v>127</v>
      </c>
      <c r="D22" s="628">
        <v>15</v>
      </c>
      <c r="E22" s="628">
        <v>8</v>
      </c>
      <c r="F22" s="63">
        <v>8</v>
      </c>
      <c r="G22" s="63">
        <v>17</v>
      </c>
      <c r="H22" s="63">
        <v>12</v>
      </c>
      <c r="I22" s="63">
        <v>19</v>
      </c>
      <c r="J22" s="63">
        <v>17</v>
      </c>
      <c r="K22" s="63">
        <v>20</v>
      </c>
      <c r="L22" s="63">
        <v>22</v>
      </c>
    </row>
    <row r="23" spans="3:13" x14ac:dyDescent="0.2">
      <c r="C23" s="627" t="s">
        <v>128</v>
      </c>
      <c r="D23" s="628" t="s">
        <v>111</v>
      </c>
      <c r="E23" s="628" t="s">
        <v>111</v>
      </c>
      <c r="F23" s="628" t="s">
        <v>111</v>
      </c>
      <c r="G23" s="628">
        <v>0</v>
      </c>
      <c r="H23" s="628" t="s">
        <v>79</v>
      </c>
      <c r="I23" s="630" t="s">
        <v>79</v>
      </c>
      <c r="J23" s="630" t="s">
        <v>79</v>
      </c>
      <c r="K23" s="630" t="s">
        <v>79</v>
      </c>
      <c r="L23" s="630"/>
    </row>
    <row r="24" spans="3:13" x14ac:dyDescent="0.2">
      <c r="C24" s="627" t="s">
        <v>377</v>
      </c>
      <c r="D24" s="628">
        <v>12</v>
      </c>
      <c r="E24" s="628">
        <v>9</v>
      </c>
      <c r="F24" s="63">
        <v>7</v>
      </c>
      <c r="G24" s="63">
        <v>9</v>
      </c>
      <c r="H24" s="63">
        <v>12</v>
      </c>
      <c r="I24" s="63">
        <v>7</v>
      </c>
      <c r="J24" s="63">
        <v>14</v>
      </c>
      <c r="K24" s="63">
        <v>11</v>
      </c>
      <c r="L24" s="63">
        <v>17</v>
      </c>
    </row>
    <row r="25" spans="3:13" x14ac:dyDescent="0.2">
      <c r="C25" s="627" t="s">
        <v>37</v>
      </c>
      <c r="D25" s="628">
        <v>10</v>
      </c>
      <c r="E25" s="628">
        <v>6</v>
      </c>
      <c r="F25" s="63">
        <v>6</v>
      </c>
      <c r="G25" s="63">
        <v>25</v>
      </c>
      <c r="H25" s="63">
        <v>28</v>
      </c>
      <c r="I25" s="63">
        <v>46</v>
      </c>
      <c r="J25" s="63">
        <v>39</v>
      </c>
      <c r="K25" s="63">
        <v>35</v>
      </c>
      <c r="L25" s="63">
        <v>42</v>
      </c>
    </row>
    <row r="26" spans="3:13" x14ac:dyDescent="0.2">
      <c r="C26" s="627" t="s">
        <v>138</v>
      </c>
      <c r="D26" s="628">
        <v>7</v>
      </c>
      <c r="E26" s="628">
        <v>6</v>
      </c>
      <c r="F26" s="63">
        <v>6</v>
      </c>
      <c r="G26" s="63">
        <v>5</v>
      </c>
      <c r="H26" s="63" t="s">
        <v>79</v>
      </c>
      <c r="I26" s="412" t="s">
        <v>79</v>
      </c>
      <c r="J26" s="412" t="s">
        <v>79</v>
      </c>
      <c r="K26" s="412" t="s">
        <v>79</v>
      </c>
      <c r="L26" s="412"/>
    </row>
    <row r="27" spans="3:13" x14ac:dyDescent="0.2">
      <c r="C27" s="627" t="s">
        <v>204</v>
      </c>
      <c r="D27" s="628">
        <v>10</v>
      </c>
      <c r="E27" s="628">
        <v>12</v>
      </c>
      <c r="F27" s="63">
        <v>3</v>
      </c>
      <c r="G27" s="628">
        <v>0</v>
      </c>
      <c r="H27" s="63" t="s">
        <v>79</v>
      </c>
      <c r="I27" s="412" t="s">
        <v>79</v>
      </c>
      <c r="J27" s="412" t="s">
        <v>79</v>
      </c>
      <c r="K27" s="412" t="s">
        <v>79</v>
      </c>
      <c r="L27" s="412"/>
    </row>
    <row r="28" spans="3:13" x14ac:dyDescent="0.2">
      <c r="C28" s="627" t="s">
        <v>378</v>
      </c>
      <c r="D28" s="628"/>
      <c r="E28" s="628"/>
      <c r="F28" s="63"/>
      <c r="G28" s="628"/>
      <c r="H28" s="63"/>
      <c r="I28" s="412"/>
      <c r="J28" s="412"/>
      <c r="K28" s="412"/>
      <c r="L28" s="412">
        <v>5</v>
      </c>
    </row>
    <row r="29" spans="3:13" x14ac:dyDescent="0.2">
      <c r="C29" s="627" t="s">
        <v>309</v>
      </c>
      <c r="E29" s="628">
        <v>17</v>
      </c>
      <c r="F29" s="63">
        <v>4</v>
      </c>
      <c r="G29" s="628">
        <v>0</v>
      </c>
      <c r="H29" s="63" t="s">
        <v>79</v>
      </c>
      <c r="I29" s="412" t="s">
        <v>79</v>
      </c>
      <c r="J29" s="412">
        <v>8</v>
      </c>
      <c r="K29" s="412">
        <v>3</v>
      </c>
      <c r="L29" s="412">
        <v>8</v>
      </c>
    </row>
    <row r="30" spans="3:13" x14ac:dyDescent="0.2">
      <c r="C30" s="627"/>
      <c r="F30" s="63"/>
      <c r="G30" s="63"/>
      <c r="H30" s="63"/>
      <c r="I30" s="63"/>
      <c r="J30" s="63"/>
      <c r="K30" s="63"/>
      <c r="L30" s="63"/>
    </row>
    <row r="31" spans="3:13" ht="14.25" x14ac:dyDescent="0.2">
      <c r="C31" s="629" t="s">
        <v>379</v>
      </c>
      <c r="D31" s="625">
        <v>39</v>
      </c>
      <c r="E31" s="625">
        <v>47</v>
      </c>
      <c r="F31" s="621">
        <v>34</v>
      </c>
      <c r="G31" s="631">
        <v>37</v>
      </c>
      <c r="H31" s="631">
        <v>30</v>
      </c>
      <c r="I31" s="631">
        <v>22</v>
      </c>
      <c r="J31" s="631">
        <v>5</v>
      </c>
      <c r="K31" s="631">
        <v>8</v>
      </c>
      <c r="L31" s="631">
        <v>28</v>
      </c>
    </row>
    <row r="32" spans="3:13" x14ac:dyDescent="0.2">
      <c r="C32" s="627" t="s">
        <v>130</v>
      </c>
      <c r="D32" s="628" t="s">
        <v>111</v>
      </c>
      <c r="E32" s="628">
        <v>0</v>
      </c>
      <c r="F32" s="628">
        <v>0</v>
      </c>
      <c r="G32" s="628">
        <v>0</v>
      </c>
      <c r="H32" s="628" t="s">
        <v>79</v>
      </c>
      <c r="I32" s="628" t="s">
        <v>79</v>
      </c>
      <c r="J32" s="628" t="s">
        <v>79</v>
      </c>
      <c r="K32" s="628" t="s">
        <v>79</v>
      </c>
      <c r="L32" s="628"/>
    </row>
    <row r="33" spans="3:15" x14ac:dyDescent="0.2">
      <c r="C33" s="627" t="s">
        <v>139</v>
      </c>
      <c r="D33" s="628" t="s">
        <v>111</v>
      </c>
      <c r="E33" s="628">
        <v>0</v>
      </c>
      <c r="F33" s="628">
        <v>0</v>
      </c>
      <c r="G33" s="628">
        <v>0</v>
      </c>
      <c r="H33" s="628" t="s">
        <v>79</v>
      </c>
      <c r="I33" s="628" t="s">
        <v>79</v>
      </c>
      <c r="J33" s="628" t="s">
        <v>79</v>
      </c>
      <c r="K33" s="628" t="s">
        <v>79</v>
      </c>
      <c r="L33" s="628"/>
    </row>
    <row r="34" spans="3:15" x14ac:dyDescent="0.2">
      <c r="C34" s="627" t="s">
        <v>131</v>
      </c>
      <c r="D34" s="628">
        <v>10</v>
      </c>
      <c r="E34" s="628">
        <v>10</v>
      </c>
      <c r="F34" s="63">
        <v>17</v>
      </c>
      <c r="G34" s="63">
        <v>17</v>
      </c>
      <c r="H34" s="63">
        <v>8</v>
      </c>
      <c r="I34" s="63">
        <v>10</v>
      </c>
      <c r="J34" s="63">
        <v>5</v>
      </c>
      <c r="K34" s="63">
        <v>8</v>
      </c>
      <c r="L34" s="63">
        <v>4</v>
      </c>
    </row>
    <row r="35" spans="3:15" x14ac:dyDescent="0.2">
      <c r="C35" s="627" t="s">
        <v>132</v>
      </c>
      <c r="D35" s="628">
        <v>29</v>
      </c>
      <c r="E35" s="628">
        <v>37</v>
      </c>
      <c r="F35" s="63">
        <v>17</v>
      </c>
      <c r="G35" s="63">
        <v>20</v>
      </c>
      <c r="H35" s="63">
        <v>22</v>
      </c>
      <c r="I35" s="63">
        <v>12</v>
      </c>
      <c r="J35" s="63" t="s">
        <v>79</v>
      </c>
      <c r="K35" s="63" t="s">
        <v>79</v>
      </c>
      <c r="L35" s="63"/>
    </row>
    <row r="36" spans="3:15" x14ac:dyDescent="0.2">
      <c r="C36" s="627" t="s">
        <v>133</v>
      </c>
      <c r="D36" s="628" t="s">
        <v>111</v>
      </c>
      <c r="E36" s="628" t="s">
        <v>111</v>
      </c>
      <c r="F36" s="628" t="s">
        <v>111</v>
      </c>
      <c r="G36" s="628">
        <v>0</v>
      </c>
      <c r="H36" s="628" t="s">
        <v>79</v>
      </c>
      <c r="I36" s="628" t="s">
        <v>79</v>
      </c>
      <c r="J36" s="628" t="s">
        <v>79</v>
      </c>
      <c r="K36" s="628" t="s">
        <v>79</v>
      </c>
      <c r="L36" s="628"/>
    </row>
    <row r="37" spans="3:15" x14ac:dyDescent="0.2">
      <c r="C37" s="627" t="s">
        <v>380</v>
      </c>
      <c r="D37" s="628"/>
      <c r="E37" s="628"/>
      <c r="F37" s="628"/>
      <c r="G37" s="628"/>
      <c r="H37" s="628"/>
      <c r="I37" s="628"/>
      <c r="J37" s="628"/>
      <c r="K37" s="628"/>
      <c r="L37" s="628">
        <v>24</v>
      </c>
    </row>
    <row r="38" spans="3:15" x14ac:dyDescent="0.2">
      <c r="C38" s="627"/>
      <c r="F38" s="63"/>
      <c r="G38" s="63"/>
      <c r="H38" s="63"/>
      <c r="I38" s="63"/>
      <c r="J38" s="63"/>
      <c r="K38" s="63"/>
      <c r="L38" s="63"/>
    </row>
    <row r="39" spans="3:15" x14ac:dyDescent="0.2">
      <c r="C39" s="632" t="s">
        <v>381</v>
      </c>
      <c r="D39" s="625">
        <v>27</v>
      </c>
      <c r="E39" s="625">
        <v>40</v>
      </c>
      <c r="F39" s="621">
        <v>55</v>
      </c>
      <c r="G39" s="621">
        <v>44</v>
      </c>
      <c r="H39" s="621">
        <v>26</v>
      </c>
      <c r="I39" s="621">
        <v>25</v>
      </c>
      <c r="J39" s="621">
        <v>13</v>
      </c>
      <c r="K39" s="621">
        <v>19</v>
      </c>
      <c r="L39" s="621">
        <v>36</v>
      </c>
    </row>
    <row r="40" spans="3:15" x14ac:dyDescent="0.2">
      <c r="C40" s="627" t="s">
        <v>40</v>
      </c>
      <c r="D40" s="628">
        <v>13</v>
      </c>
      <c r="E40" s="628">
        <v>9</v>
      </c>
      <c r="F40" s="63">
        <v>10</v>
      </c>
      <c r="G40" s="63">
        <v>8</v>
      </c>
      <c r="H40" s="63">
        <v>1</v>
      </c>
      <c r="I40" s="63">
        <v>0</v>
      </c>
      <c r="J40" s="63">
        <v>1</v>
      </c>
      <c r="K40" s="63">
        <v>10</v>
      </c>
      <c r="L40" s="63">
        <v>9</v>
      </c>
    </row>
    <row r="41" spans="3:15" x14ac:dyDescent="0.2">
      <c r="C41" s="627" t="s">
        <v>147</v>
      </c>
      <c r="D41" s="633">
        <v>0</v>
      </c>
      <c r="E41" s="633">
        <v>0</v>
      </c>
      <c r="F41" s="63">
        <v>2</v>
      </c>
      <c r="G41" s="63">
        <v>6</v>
      </c>
      <c r="H41" s="63">
        <v>5</v>
      </c>
      <c r="I41" s="63">
        <v>3</v>
      </c>
      <c r="J41" s="63">
        <v>4</v>
      </c>
      <c r="K41" s="63">
        <v>2</v>
      </c>
      <c r="L41" s="63">
        <v>3</v>
      </c>
    </row>
    <row r="42" spans="3:15" x14ac:dyDescent="0.2">
      <c r="C42" s="627" t="s">
        <v>148</v>
      </c>
      <c r="D42" s="628">
        <v>0</v>
      </c>
      <c r="E42" s="628">
        <v>22</v>
      </c>
      <c r="F42" s="29">
        <v>22</v>
      </c>
      <c r="G42" s="29">
        <v>9</v>
      </c>
      <c r="H42" s="29">
        <v>12</v>
      </c>
      <c r="I42" s="29">
        <v>9</v>
      </c>
      <c r="J42" s="29">
        <v>0</v>
      </c>
      <c r="K42" s="29">
        <v>5</v>
      </c>
      <c r="L42" s="29">
        <v>19</v>
      </c>
    </row>
    <row r="43" spans="3:15" x14ac:dyDescent="0.2">
      <c r="C43" s="627" t="s">
        <v>150</v>
      </c>
      <c r="D43" s="628">
        <v>14</v>
      </c>
      <c r="E43" s="628">
        <v>9</v>
      </c>
      <c r="F43" s="412">
        <v>21</v>
      </c>
      <c r="G43" s="412">
        <v>21</v>
      </c>
      <c r="H43" s="412">
        <v>8</v>
      </c>
      <c r="I43" s="412">
        <v>13</v>
      </c>
      <c r="J43" s="412">
        <v>8</v>
      </c>
      <c r="K43" s="412">
        <v>2</v>
      </c>
      <c r="L43" s="412">
        <v>5</v>
      </c>
      <c r="M43" s="621"/>
      <c r="N43" s="621"/>
      <c r="O43" s="621"/>
    </row>
    <row r="44" spans="3:15" x14ac:dyDescent="0.2">
      <c r="F44" s="63"/>
      <c r="G44" s="63"/>
      <c r="H44" s="63"/>
      <c r="I44" s="63"/>
      <c r="J44" s="63"/>
      <c r="K44" s="63"/>
      <c r="L44" s="63"/>
      <c r="M44" s="100"/>
      <c r="N44" s="100"/>
    </row>
    <row r="45" spans="3:15" ht="14.25" x14ac:dyDescent="0.2">
      <c r="C45" s="632" t="s">
        <v>382</v>
      </c>
      <c r="D45" s="625">
        <v>101</v>
      </c>
      <c r="E45" s="625">
        <v>119</v>
      </c>
      <c r="F45" s="621">
        <v>144</v>
      </c>
      <c r="G45" s="621">
        <v>153</v>
      </c>
      <c r="H45" s="621">
        <v>122</v>
      </c>
      <c r="I45" s="621">
        <v>103</v>
      </c>
      <c r="J45" s="621">
        <v>183</v>
      </c>
      <c r="K45" s="621">
        <v>155</v>
      </c>
      <c r="L45" s="621">
        <v>206</v>
      </c>
    </row>
    <row r="46" spans="3:15" x14ac:dyDescent="0.2">
      <c r="C46" s="632"/>
      <c r="D46" s="625"/>
      <c r="E46" s="625"/>
      <c r="F46" s="621"/>
      <c r="G46" s="621"/>
      <c r="H46" s="621"/>
      <c r="I46" s="621"/>
      <c r="J46" s="621"/>
      <c r="K46" s="621"/>
      <c r="L46" s="621"/>
    </row>
    <row r="47" spans="3:15" ht="14.25" x14ac:dyDescent="0.2">
      <c r="C47" s="634" t="s">
        <v>347</v>
      </c>
      <c r="D47" s="64"/>
      <c r="E47" s="64"/>
      <c r="F47" s="635">
        <v>71</v>
      </c>
      <c r="G47" s="635"/>
      <c r="H47" s="635">
        <v>27</v>
      </c>
      <c r="I47" s="635">
        <v>30</v>
      </c>
      <c r="J47" s="635">
        <v>23</v>
      </c>
      <c r="K47" s="635">
        <v>33</v>
      </c>
      <c r="L47" s="635">
        <v>41</v>
      </c>
    </row>
    <row r="48" spans="3:15" x14ac:dyDescent="0.2">
      <c r="C48" s="636"/>
      <c r="D48" s="50"/>
      <c r="E48" s="50"/>
      <c r="F48" s="63"/>
      <c r="G48" s="63"/>
      <c r="H48" s="63"/>
      <c r="I48" s="63"/>
      <c r="J48" s="63"/>
      <c r="K48" s="63"/>
    </row>
    <row r="49" spans="2:13" ht="17.25" customHeight="1" x14ac:dyDescent="0.2">
      <c r="C49" s="629" t="s">
        <v>123</v>
      </c>
      <c r="D49" s="171"/>
      <c r="E49" s="63"/>
      <c r="F49" s="63"/>
      <c r="G49" s="63"/>
      <c r="H49" s="63"/>
      <c r="I49" s="63"/>
      <c r="J49" s="63"/>
      <c r="K49" s="63"/>
    </row>
    <row r="50" spans="2:13" ht="17.25" customHeight="1" x14ac:dyDescent="0.2">
      <c r="B50" s="637">
        <v>1</v>
      </c>
      <c r="C50" s="758" t="s">
        <v>383</v>
      </c>
      <c r="D50" s="758"/>
      <c r="E50" s="758"/>
      <c r="F50" s="758"/>
      <c r="G50" s="63"/>
      <c r="H50" s="63"/>
      <c r="I50" s="63"/>
      <c r="J50" s="63"/>
      <c r="K50" s="63"/>
    </row>
    <row r="51" spans="2:13" ht="16.5" x14ac:dyDescent="0.2">
      <c r="B51" s="638">
        <v>2</v>
      </c>
      <c r="C51" s="758" t="s">
        <v>384</v>
      </c>
      <c r="D51" s="758"/>
      <c r="E51" s="758"/>
      <c r="F51" s="758"/>
      <c r="G51" s="758"/>
      <c r="H51" s="63"/>
      <c r="I51" s="63"/>
      <c r="J51" s="63"/>
      <c r="K51" s="63"/>
    </row>
    <row r="52" spans="2:13" ht="16.5" x14ac:dyDescent="0.2">
      <c r="B52" s="638">
        <v>3</v>
      </c>
      <c r="C52" s="639" t="s">
        <v>385</v>
      </c>
      <c r="D52" s="640"/>
      <c r="E52" s="641"/>
      <c r="F52" s="641"/>
      <c r="G52" s="63"/>
      <c r="H52" s="63"/>
      <c r="I52" s="63"/>
      <c r="J52" s="63"/>
      <c r="K52" s="63"/>
    </row>
    <row r="53" spans="2:13" ht="41.25" customHeight="1" x14ac:dyDescent="0.2">
      <c r="B53" s="638">
        <v>4</v>
      </c>
      <c r="C53" s="758" t="s">
        <v>386</v>
      </c>
      <c r="D53" s="758"/>
      <c r="E53" s="758"/>
      <c r="F53" s="758"/>
      <c r="G53" s="758"/>
      <c r="H53" s="758"/>
      <c r="I53" s="758"/>
      <c r="J53" s="63"/>
      <c r="K53" s="63"/>
      <c r="M53" s="523"/>
    </row>
    <row r="54" spans="2:13" ht="16.5" x14ac:dyDescent="0.2">
      <c r="B54" s="638">
        <v>5</v>
      </c>
      <c r="C54" s="642" t="s">
        <v>387</v>
      </c>
      <c r="D54" s="643"/>
      <c r="E54" s="641"/>
      <c r="F54" s="641"/>
      <c r="G54" s="63"/>
      <c r="H54" s="63"/>
      <c r="I54" s="63"/>
      <c r="J54" s="63"/>
      <c r="K54" s="63"/>
      <c r="M54" s="523"/>
    </row>
    <row r="55" spans="2:13" ht="16.5" x14ac:dyDescent="0.2">
      <c r="B55" s="638">
        <v>6</v>
      </c>
      <c r="C55" s="758" t="s">
        <v>388</v>
      </c>
      <c r="D55" s="758"/>
      <c r="E55" s="758"/>
      <c r="F55" s="758"/>
      <c r="G55" s="758"/>
      <c r="H55" s="63"/>
      <c r="I55" s="63"/>
      <c r="J55" s="63"/>
      <c r="K55" s="63"/>
    </row>
    <row r="56" spans="2:13" ht="14.25" x14ac:dyDescent="0.2">
      <c r="B56" s="466"/>
      <c r="C56" s="448" t="s">
        <v>200</v>
      </c>
      <c r="D56" s="622"/>
      <c r="E56" s="63"/>
      <c r="F56" s="63"/>
      <c r="G56" s="63"/>
      <c r="H56" s="63"/>
      <c r="I56" s="63"/>
      <c r="J56" s="63"/>
      <c r="K56" s="63"/>
    </row>
    <row r="57" spans="2:13" x14ac:dyDescent="0.2">
      <c r="C57" s="156"/>
      <c r="D57" s="426"/>
      <c r="E57" s="63"/>
      <c r="F57" s="63"/>
      <c r="G57" s="63"/>
      <c r="H57" s="63"/>
      <c r="I57" s="63"/>
      <c r="J57" s="63"/>
    </row>
  </sheetData>
  <mergeCells count="4">
    <mergeCell ref="C50:F50"/>
    <mergeCell ref="C51:G51"/>
    <mergeCell ref="C53:I53"/>
    <mergeCell ref="C55:G55"/>
  </mergeCells>
  <pageMargins left="0.7" right="0.7" top="0.75" bottom="0.75" header="0.3" footer="0.3"/>
  <pageSetup scale="56" orientation="portrait" r:id="rId1"/>
  <drawing r:id="rId2"/>
  <legacyDrawing r:id="rId3"/>
  <oleObjects>
    <mc:AlternateContent xmlns:mc="http://schemas.openxmlformats.org/markup-compatibility/2006">
      <mc:Choice Requires="x14">
        <oleObject progId="MSPhotoEd.3" shapeId="39938" r:id="rId4">
          <objectPr defaultSize="0" autoPict="0" r:id="rId5">
            <anchor moveWithCells="1" sizeWithCells="1">
              <from>
                <xdr:col>2</xdr:col>
                <xdr:colOff>771525</xdr:colOff>
                <xdr:row>0</xdr:row>
                <xdr:rowOff>28575</xdr:rowOff>
              </from>
              <to>
                <xdr:col>2</xdr:col>
                <xdr:colOff>1819275</xdr:colOff>
                <xdr:row>3</xdr:row>
                <xdr:rowOff>114300</xdr:rowOff>
              </to>
            </anchor>
          </objectPr>
        </oleObject>
      </mc:Choice>
      <mc:Fallback>
        <oleObject progId="MSPhotoEd.3" shapeId="39938" r:id="rId4"/>
      </mc:Fallback>
    </mc:AlternateContent>
  </oleObjec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FF00"/>
  </sheetPr>
  <dimension ref="B4:S64"/>
  <sheetViews>
    <sheetView zoomScaleNormal="100" zoomScaleSheetLayoutView="100" workbookViewId="0">
      <selection activeCell="L17" sqref="L17"/>
    </sheetView>
  </sheetViews>
  <sheetFormatPr defaultRowHeight="12.75" x14ac:dyDescent="0.2"/>
  <cols>
    <col min="1" max="1" width="9.140625" style="29"/>
    <col min="2" max="2" width="6.140625" style="29" customWidth="1"/>
    <col min="3" max="3" width="5.42578125" style="29" customWidth="1"/>
    <col min="4" max="4" width="31.7109375" style="29" customWidth="1"/>
    <col min="5" max="7" width="9.28515625" style="29" customWidth="1"/>
    <col min="8" max="16384" width="9.140625" style="29"/>
  </cols>
  <sheetData>
    <row r="4" spans="2:13" x14ac:dyDescent="0.2">
      <c r="I4" s="619" t="s">
        <v>374</v>
      </c>
    </row>
    <row r="5" spans="2:13" ht="12" customHeight="1" x14ac:dyDescent="0.2"/>
    <row r="7" spans="2:13" s="644" customFormat="1" ht="15.75" customHeight="1" x14ac:dyDescent="0.25">
      <c r="B7" s="406">
        <v>3.06</v>
      </c>
      <c r="D7" s="759" t="s">
        <v>389</v>
      </c>
      <c r="E7" s="759"/>
      <c r="F7" s="759"/>
      <c r="G7" s="759"/>
      <c r="H7" s="759"/>
      <c r="I7" s="759"/>
      <c r="J7" s="759"/>
      <c r="K7" s="759"/>
      <c r="L7" s="759"/>
    </row>
    <row r="8" spans="2:13" ht="12.75" customHeight="1" x14ac:dyDescent="0.25">
      <c r="B8" s="299"/>
      <c r="C8" s="645"/>
      <c r="D8" s="645"/>
      <c r="E8" s="645"/>
      <c r="F8" s="645"/>
      <c r="G8" s="645"/>
      <c r="H8" s="645"/>
    </row>
    <row r="10" spans="2:13" x14ac:dyDescent="0.2">
      <c r="C10" s="486"/>
      <c r="D10" s="486"/>
      <c r="E10" s="623">
        <v>2011</v>
      </c>
      <c r="F10" s="623">
        <v>2012</v>
      </c>
      <c r="G10" s="623">
        <v>2013</v>
      </c>
      <c r="H10" s="623">
        <v>2014</v>
      </c>
      <c r="I10" s="623">
        <v>2015</v>
      </c>
      <c r="J10" s="623">
        <v>2016</v>
      </c>
      <c r="K10" s="623">
        <v>2017</v>
      </c>
      <c r="L10" s="623">
        <v>2018</v>
      </c>
      <c r="M10" s="623">
        <v>2019</v>
      </c>
    </row>
    <row r="11" spans="2:13" x14ac:dyDescent="0.2">
      <c r="C11" s="646"/>
      <c r="D11" s="646"/>
      <c r="E11" s="626"/>
      <c r="F11" s="626"/>
    </row>
    <row r="12" spans="2:13" x14ac:dyDescent="0.2">
      <c r="C12" s="619" t="s">
        <v>92</v>
      </c>
      <c r="E12" s="647">
        <v>369</v>
      </c>
      <c r="F12" s="647">
        <v>373</v>
      </c>
      <c r="G12" s="647">
        <v>427</v>
      </c>
      <c r="H12" s="647">
        <v>387</v>
      </c>
      <c r="I12" s="647">
        <v>438</v>
      </c>
      <c r="J12" s="648">
        <v>467</v>
      </c>
      <c r="K12" s="621">
        <v>572</v>
      </c>
      <c r="L12" s="621">
        <f>SUM(L13:L14)</f>
        <v>593</v>
      </c>
      <c r="M12" s="649">
        <v>570</v>
      </c>
    </row>
    <row r="13" spans="2:13" x14ac:dyDescent="0.2">
      <c r="C13" s="619"/>
      <c r="D13" s="29" t="s">
        <v>27</v>
      </c>
      <c r="E13" s="650">
        <v>220</v>
      </c>
      <c r="F13" s="650">
        <v>219</v>
      </c>
      <c r="G13" s="650">
        <v>256</v>
      </c>
      <c r="H13" s="650">
        <v>254</v>
      </c>
      <c r="I13" s="650">
        <v>287</v>
      </c>
      <c r="J13" s="651">
        <v>321</v>
      </c>
      <c r="K13" s="63">
        <v>382</v>
      </c>
      <c r="L13" s="63">
        <v>394</v>
      </c>
      <c r="M13" s="652">
        <v>376</v>
      </c>
    </row>
    <row r="14" spans="2:13" x14ac:dyDescent="0.2">
      <c r="D14" s="29" t="s">
        <v>26</v>
      </c>
      <c r="E14" s="650">
        <v>149</v>
      </c>
      <c r="F14" s="650">
        <v>154</v>
      </c>
      <c r="G14" s="650">
        <v>171</v>
      </c>
      <c r="H14" s="650">
        <v>133</v>
      </c>
      <c r="I14" s="650">
        <v>151</v>
      </c>
      <c r="J14" s="651">
        <v>146</v>
      </c>
      <c r="K14" s="63">
        <v>190</v>
      </c>
      <c r="L14" s="63">
        <v>199</v>
      </c>
      <c r="M14" s="652">
        <v>194</v>
      </c>
    </row>
    <row r="15" spans="2:13" x14ac:dyDescent="0.2">
      <c r="E15" s="650"/>
      <c r="F15" s="650"/>
      <c r="G15" s="650"/>
      <c r="H15" s="650"/>
      <c r="I15" s="650"/>
      <c r="J15" s="651"/>
      <c r="K15" s="63"/>
      <c r="L15" s="63"/>
      <c r="M15" s="652"/>
    </row>
    <row r="16" spans="2:13" ht="15" x14ac:dyDescent="0.25">
      <c r="C16" s="619" t="s">
        <v>86</v>
      </c>
      <c r="E16" s="647">
        <v>28</v>
      </c>
      <c r="F16" s="647">
        <v>24</v>
      </c>
      <c r="G16" s="647">
        <v>19</v>
      </c>
      <c r="H16" s="647">
        <v>18</v>
      </c>
      <c r="I16" s="647">
        <v>19</v>
      </c>
      <c r="J16" s="648">
        <v>15</v>
      </c>
      <c r="K16" s="653">
        <v>30</v>
      </c>
      <c r="L16" s="653">
        <f>SUM(L17:L18)</f>
        <v>43</v>
      </c>
      <c r="M16" s="649">
        <v>43</v>
      </c>
    </row>
    <row r="17" spans="3:13" ht="15" x14ac:dyDescent="0.25">
      <c r="D17" s="29" t="s">
        <v>27</v>
      </c>
      <c r="E17" s="650">
        <v>20</v>
      </c>
      <c r="F17" s="650">
        <v>15</v>
      </c>
      <c r="G17" s="650">
        <v>10</v>
      </c>
      <c r="H17" s="650">
        <v>11</v>
      </c>
      <c r="I17" s="650">
        <v>12</v>
      </c>
      <c r="J17" s="654">
        <v>9</v>
      </c>
      <c r="K17" s="655">
        <v>22</v>
      </c>
      <c r="L17" s="655">
        <v>30</v>
      </c>
      <c r="M17" s="652">
        <v>30</v>
      </c>
    </row>
    <row r="18" spans="3:13" x14ac:dyDescent="0.2">
      <c r="D18" s="29" t="s">
        <v>26</v>
      </c>
      <c r="E18" s="650">
        <v>8</v>
      </c>
      <c r="F18" s="650">
        <v>9</v>
      </c>
      <c r="G18" s="650">
        <v>9</v>
      </c>
      <c r="H18" s="650">
        <v>7</v>
      </c>
      <c r="I18" s="650">
        <v>7</v>
      </c>
      <c r="J18" s="651">
        <v>6</v>
      </c>
      <c r="K18" s="63">
        <v>8</v>
      </c>
      <c r="L18" s="63">
        <v>13</v>
      </c>
      <c r="M18" s="652">
        <v>13</v>
      </c>
    </row>
    <row r="19" spans="3:13" x14ac:dyDescent="0.2">
      <c r="E19" s="650"/>
      <c r="F19" s="650"/>
      <c r="G19" s="650"/>
      <c r="H19" s="650"/>
      <c r="I19" s="650"/>
      <c r="J19" s="651"/>
      <c r="K19" s="63"/>
      <c r="L19" s="63"/>
      <c r="M19" s="652"/>
    </row>
    <row r="20" spans="3:13" x14ac:dyDescent="0.2">
      <c r="C20" s="619" t="s">
        <v>87</v>
      </c>
      <c r="E20" s="647">
        <v>34</v>
      </c>
      <c r="F20" s="647">
        <f>SUM(F21:F22)</f>
        <v>47</v>
      </c>
      <c r="G20" s="647">
        <v>54</v>
      </c>
      <c r="H20" s="647">
        <v>45</v>
      </c>
      <c r="I20" s="647">
        <v>52</v>
      </c>
      <c r="J20" s="648">
        <v>66</v>
      </c>
      <c r="K20" s="621">
        <v>69</v>
      </c>
      <c r="L20" s="621">
        <f>SUM(L21:L22)</f>
        <v>63</v>
      </c>
      <c r="M20" s="649">
        <v>65</v>
      </c>
    </row>
    <row r="21" spans="3:13" x14ac:dyDescent="0.2">
      <c r="D21" s="29" t="s">
        <v>27</v>
      </c>
      <c r="E21" s="656">
        <v>28</v>
      </c>
      <c r="F21" s="650">
        <v>38</v>
      </c>
      <c r="G21" s="650">
        <v>42</v>
      </c>
      <c r="H21" s="650">
        <v>43</v>
      </c>
      <c r="I21" s="650">
        <v>49</v>
      </c>
      <c r="J21" s="651">
        <v>64</v>
      </c>
      <c r="K21" s="63">
        <v>66</v>
      </c>
      <c r="L21" s="63">
        <v>59</v>
      </c>
      <c r="M21" s="652">
        <v>59</v>
      </c>
    </row>
    <row r="22" spans="3:13" x14ac:dyDescent="0.2">
      <c r="D22" s="29" t="s">
        <v>26</v>
      </c>
      <c r="E22" s="650">
        <v>6</v>
      </c>
      <c r="F22" s="650">
        <v>9</v>
      </c>
      <c r="G22" s="650">
        <v>12</v>
      </c>
      <c r="H22" s="650">
        <v>2</v>
      </c>
      <c r="I22" s="650">
        <v>3</v>
      </c>
      <c r="J22" s="651">
        <v>2</v>
      </c>
      <c r="K22" s="63">
        <v>3</v>
      </c>
      <c r="L22" s="63">
        <v>4</v>
      </c>
      <c r="M22" s="652">
        <v>6</v>
      </c>
    </row>
    <row r="23" spans="3:13" x14ac:dyDescent="0.2">
      <c r="E23" s="650"/>
      <c r="F23" s="650"/>
      <c r="G23" s="650"/>
      <c r="M23" s="652"/>
    </row>
    <row r="24" spans="3:13" x14ac:dyDescent="0.2">
      <c r="C24" s="619" t="s">
        <v>88</v>
      </c>
      <c r="E24" s="647">
        <v>158</v>
      </c>
      <c r="F24" s="647">
        <v>141</v>
      </c>
      <c r="G24" s="647">
        <v>177</v>
      </c>
      <c r="H24" s="648">
        <v>161</v>
      </c>
      <c r="I24" s="648">
        <v>180</v>
      </c>
      <c r="J24" s="657">
        <v>191</v>
      </c>
      <c r="K24" s="621">
        <v>215</v>
      </c>
      <c r="L24" s="621">
        <f>SUM(L25:L26)</f>
        <v>220</v>
      </c>
      <c r="M24" s="649">
        <v>215</v>
      </c>
    </row>
    <row r="25" spans="3:13" x14ac:dyDescent="0.2">
      <c r="D25" s="29" t="s">
        <v>27</v>
      </c>
      <c r="E25" s="650">
        <v>93</v>
      </c>
      <c r="F25" s="650">
        <v>77</v>
      </c>
      <c r="G25" s="650">
        <v>105</v>
      </c>
      <c r="H25" s="651">
        <v>110</v>
      </c>
      <c r="I25" s="651">
        <v>118</v>
      </c>
      <c r="J25" s="63">
        <v>126</v>
      </c>
      <c r="K25" s="63">
        <v>140</v>
      </c>
      <c r="L25" s="63">
        <v>136</v>
      </c>
      <c r="M25" s="652">
        <v>134</v>
      </c>
    </row>
    <row r="26" spans="3:13" x14ac:dyDescent="0.2">
      <c r="D26" s="29" t="s">
        <v>26</v>
      </c>
      <c r="E26" s="650">
        <v>65</v>
      </c>
      <c r="F26" s="650">
        <v>64</v>
      </c>
      <c r="G26" s="650">
        <v>72</v>
      </c>
      <c r="H26" s="651">
        <v>51</v>
      </c>
      <c r="I26" s="651">
        <v>62</v>
      </c>
      <c r="J26" s="63">
        <v>65</v>
      </c>
      <c r="K26" s="63">
        <v>75</v>
      </c>
      <c r="L26" s="63">
        <v>84</v>
      </c>
      <c r="M26" s="652">
        <v>81</v>
      </c>
    </row>
    <row r="27" spans="3:13" x14ac:dyDescent="0.2">
      <c r="E27" s="650"/>
      <c r="F27" s="650"/>
      <c r="G27" s="650"/>
      <c r="H27" s="651"/>
      <c r="I27" s="651"/>
      <c r="J27" s="63"/>
      <c r="K27" s="63"/>
      <c r="L27" s="63"/>
      <c r="M27" s="652"/>
    </row>
    <row r="28" spans="3:13" x14ac:dyDescent="0.2">
      <c r="C28" s="619" t="s">
        <v>89</v>
      </c>
      <c r="E28" s="647">
        <v>14</v>
      </c>
      <c r="F28" s="647">
        <v>18</v>
      </c>
      <c r="G28" s="647">
        <v>23</v>
      </c>
      <c r="H28" s="648">
        <v>15</v>
      </c>
      <c r="I28" s="648">
        <v>15</v>
      </c>
      <c r="J28" s="621">
        <v>28</v>
      </c>
      <c r="K28" s="621">
        <v>38</v>
      </c>
      <c r="L28" s="621">
        <f>SUM(L29:L30)</f>
        <v>35</v>
      </c>
      <c r="M28" s="649">
        <v>25</v>
      </c>
    </row>
    <row r="29" spans="3:13" x14ac:dyDescent="0.2">
      <c r="D29" s="29" t="s">
        <v>27</v>
      </c>
      <c r="E29" s="650">
        <v>5</v>
      </c>
      <c r="F29" s="650">
        <v>9</v>
      </c>
      <c r="G29" s="650">
        <v>13</v>
      </c>
      <c r="H29" s="651">
        <v>9</v>
      </c>
      <c r="I29" s="651">
        <v>9</v>
      </c>
      <c r="J29" s="63">
        <v>21</v>
      </c>
      <c r="K29" s="63">
        <v>30</v>
      </c>
      <c r="L29" s="63">
        <v>28</v>
      </c>
      <c r="M29" s="652">
        <v>21</v>
      </c>
    </row>
    <row r="30" spans="3:13" ht="15" x14ac:dyDescent="0.25">
      <c r="D30" s="29" t="s">
        <v>26</v>
      </c>
      <c r="E30" s="650">
        <v>9</v>
      </c>
      <c r="F30" s="650">
        <v>9</v>
      </c>
      <c r="G30" s="650">
        <v>10</v>
      </c>
      <c r="H30" s="654">
        <v>6</v>
      </c>
      <c r="I30" s="654">
        <v>6</v>
      </c>
      <c r="J30" s="658">
        <v>7</v>
      </c>
      <c r="K30" s="658">
        <v>8</v>
      </c>
      <c r="L30" s="658">
        <v>7</v>
      </c>
      <c r="M30" s="652">
        <v>4</v>
      </c>
    </row>
    <row r="31" spans="3:13" x14ac:dyDescent="0.2">
      <c r="E31" s="650"/>
      <c r="F31" s="650"/>
      <c r="G31" s="650"/>
      <c r="H31" s="650"/>
      <c r="I31" s="650"/>
      <c r="J31" s="650"/>
      <c r="K31" s="650"/>
      <c r="L31" s="650"/>
      <c r="M31" s="652"/>
    </row>
    <row r="32" spans="3:13" x14ac:dyDescent="0.2">
      <c r="C32" s="619" t="s">
        <v>90</v>
      </c>
      <c r="E32" s="647">
        <v>105</v>
      </c>
      <c r="F32" s="647">
        <v>113</v>
      </c>
      <c r="G32" s="647">
        <v>120</v>
      </c>
      <c r="H32" s="647">
        <v>115</v>
      </c>
      <c r="I32" s="647">
        <v>137</v>
      </c>
      <c r="J32" s="647">
        <v>132</v>
      </c>
      <c r="K32" s="647">
        <v>145</v>
      </c>
      <c r="L32" s="647">
        <f>SUM(L33:L34)</f>
        <v>134</v>
      </c>
      <c r="M32" s="649">
        <v>113</v>
      </c>
    </row>
    <row r="33" spans="2:13" x14ac:dyDescent="0.2">
      <c r="D33" s="29" t="s">
        <v>27</v>
      </c>
      <c r="E33" s="650">
        <v>51</v>
      </c>
      <c r="F33" s="650">
        <v>53</v>
      </c>
      <c r="G33" s="650">
        <v>55</v>
      </c>
      <c r="H33" s="650">
        <v>53</v>
      </c>
      <c r="I33" s="650">
        <v>70</v>
      </c>
      <c r="J33" s="650">
        <v>70</v>
      </c>
      <c r="K33" s="650">
        <v>63</v>
      </c>
      <c r="L33" s="650">
        <v>62</v>
      </c>
      <c r="M33" s="652">
        <v>48</v>
      </c>
    </row>
    <row r="34" spans="2:13" x14ac:dyDescent="0.2">
      <c r="D34" s="29" t="s">
        <v>26</v>
      </c>
      <c r="E34" s="650">
        <v>54</v>
      </c>
      <c r="F34" s="650">
        <v>60</v>
      </c>
      <c r="G34" s="650">
        <v>65</v>
      </c>
      <c r="H34" s="650">
        <v>62</v>
      </c>
      <c r="I34" s="650">
        <v>67</v>
      </c>
      <c r="J34" s="650">
        <v>62</v>
      </c>
      <c r="K34" s="650">
        <v>82</v>
      </c>
      <c r="L34" s="650">
        <v>72</v>
      </c>
      <c r="M34" s="652">
        <v>65</v>
      </c>
    </row>
    <row r="35" spans="2:13" x14ac:dyDescent="0.2">
      <c r="E35" s="650"/>
      <c r="F35" s="650"/>
      <c r="G35" s="650"/>
      <c r="H35" s="650"/>
      <c r="I35" s="650"/>
      <c r="J35" s="650"/>
      <c r="K35" s="650"/>
      <c r="L35" s="650"/>
      <c r="M35" s="652"/>
    </row>
    <row r="36" spans="2:13" x14ac:dyDescent="0.2">
      <c r="C36" s="619" t="s">
        <v>91</v>
      </c>
      <c r="E36" s="647">
        <v>30</v>
      </c>
      <c r="F36" s="647">
        <v>30</v>
      </c>
      <c r="G36" s="647">
        <v>34</v>
      </c>
      <c r="H36" s="647">
        <v>33</v>
      </c>
      <c r="I36" s="647">
        <v>35</v>
      </c>
      <c r="J36" s="647">
        <v>35</v>
      </c>
      <c r="K36" s="647">
        <v>75</v>
      </c>
      <c r="L36" s="647">
        <f>SUM(L37:L38)</f>
        <v>98</v>
      </c>
      <c r="M36" s="649">
        <v>109</v>
      </c>
    </row>
    <row r="37" spans="2:13" x14ac:dyDescent="0.2">
      <c r="D37" s="29" t="s">
        <v>27</v>
      </c>
      <c r="E37" s="650">
        <v>23</v>
      </c>
      <c r="F37" s="650">
        <v>27</v>
      </c>
      <c r="G37" s="650">
        <v>31</v>
      </c>
      <c r="H37" s="650">
        <v>28</v>
      </c>
      <c r="I37" s="650">
        <v>29</v>
      </c>
      <c r="J37" s="650">
        <v>31</v>
      </c>
      <c r="K37" s="650">
        <v>61</v>
      </c>
      <c r="L37" s="650">
        <v>79</v>
      </c>
      <c r="M37" s="652">
        <v>84</v>
      </c>
    </row>
    <row r="38" spans="2:13" x14ac:dyDescent="0.2">
      <c r="D38" s="29" t="s">
        <v>26</v>
      </c>
      <c r="E38" s="650">
        <v>7</v>
      </c>
      <c r="F38" s="650">
        <v>3</v>
      </c>
      <c r="G38" s="650">
        <v>3</v>
      </c>
      <c r="H38" s="650">
        <v>5</v>
      </c>
      <c r="I38" s="650">
        <v>6</v>
      </c>
      <c r="J38" s="650">
        <v>4</v>
      </c>
      <c r="K38" s="650">
        <v>14</v>
      </c>
      <c r="L38" s="650">
        <v>19</v>
      </c>
      <c r="M38" s="652">
        <v>25</v>
      </c>
    </row>
    <row r="39" spans="2:13" x14ac:dyDescent="0.2">
      <c r="E39" s="650"/>
      <c r="F39" s="650"/>
      <c r="G39" s="650"/>
      <c r="H39" s="650"/>
      <c r="I39" s="650"/>
      <c r="J39" s="650"/>
      <c r="K39" s="650"/>
      <c r="L39" s="650"/>
      <c r="M39" s="652"/>
    </row>
    <row r="40" spans="2:13" x14ac:dyDescent="0.2">
      <c r="C40" s="619" t="s">
        <v>93</v>
      </c>
      <c r="E40" s="647">
        <v>138</v>
      </c>
      <c r="F40" s="647">
        <v>141</v>
      </c>
      <c r="G40" s="647">
        <v>149</v>
      </c>
      <c r="H40" s="647">
        <v>119</v>
      </c>
      <c r="I40" s="647">
        <v>208</v>
      </c>
      <c r="J40" s="647">
        <v>180</v>
      </c>
      <c r="K40" s="647">
        <v>194</v>
      </c>
      <c r="L40" s="647">
        <f>SUM(L41:L42)</f>
        <v>222</v>
      </c>
      <c r="M40" s="649">
        <v>170</v>
      </c>
    </row>
    <row r="41" spans="2:13" x14ac:dyDescent="0.2">
      <c r="D41" s="29" t="s">
        <v>27</v>
      </c>
      <c r="E41" s="650">
        <v>81</v>
      </c>
      <c r="F41" s="650">
        <v>82</v>
      </c>
      <c r="G41" s="650">
        <v>100</v>
      </c>
      <c r="H41" s="650">
        <v>111</v>
      </c>
      <c r="I41" s="650">
        <v>139</v>
      </c>
      <c r="J41" s="650">
        <v>132</v>
      </c>
      <c r="K41" s="650">
        <v>121</v>
      </c>
      <c r="L41" s="650">
        <v>145</v>
      </c>
      <c r="M41" s="652">
        <v>118</v>
      </c>
    </row>
    <row r="42" spans="2:13" x14ac:dyDescent="0.2">
      <c r="D42" s="29" t="s">
        <v>26</v>
      </c>
      <c r="E42" s="650">
        <v>57</v>
      </c>
      <c r="F42" s="650">
        <v>59</v>
      </c>
      <c r="G42" s="650">
        <v>49</v>
      </c>
      <c r="H42" s="650">
        <v>8</v>
      </c>
      <c r="I42" s="650">
        <v>69</v>
      </c>
      <c r="J42" s="650">
        <v>48</v>
      </c>
      <c r="K42" s="650">
        <v>73</v>
      </c>
      <c r="L42" s="650">
        <v>77</v>
      </c>
      <c r="M42" s="652">
        <v>52</v>
      </c>
    </row>
    <row r="43" spans="2:13" x14ac:dyDescent="0.2">
      <c r="B43" s="50"/>
      <c r="C43" s="64"/>
      <c r="D43" s="64"/>
      <c r="E43" s="64"/>
      <c r="F43" s="64"/>
      <c r="G43" s="64"/>
      <c r="H43" s="64"/>
      <c r="I43" s="64"/>
      <c r="J43" s="64"/>
      <c r="K43" s="64"/>
      <c r="L43" s="64"/>
      <c r="M43" s="64"/>
    </row>
    <row r="44" spans="2:13" x14ac:dyDescent="0.2">
      <c r="B44" s="50"/>
      <c r="C44" s="50"/>
      <c r="D44" s="50"/>
      <c r="E44" s="50"/>
      <c r="F44" s="50"/>
    </row>
    <row r="45" spans="2:13" x14ac:dyDescent="0.2">
      <c r="B45" s="50"/>
      <c r="C45" s="632" t="s">
        <v>316</v>
      </c>
    </row>
    <row r="47" spans="2:13" x14ac:dyDescent="0.2">
      <c r="C47" s="156"/>
    </row>
    <row r="48" spans="2:13" x14ac:dyDescent="0.2">
      <c r="C48" s="156"/>
    </row>
    <row r="49" spans="2:19" x14ac:dyDescent="0.2">
      <c r="C49" s="156"/>
    </row>
    <row r="50" spans="2:19" x14ac:dyDescent="0.2">
      <c r="C50" s="156"/>
    </row>
    <row r="51" spans="2:19" x14ac:dyDescent="0.2">
      <c r="C51" s="156"/>
    </row>
    <row r="52" spans="2:19" x14ac:dyDescent="0.2">
      <c r="C52" s="156"/>
    </row>
    <row r="53" spans="2:19" x14ac:dyDescent="0.2">
      <c r="C53" s="156"/>
    </row>
    <row r="54" spans="2:19" x14ac:dyDescent="0.2">
      <c r="C54" s="156"/>
    </row>
    <row r="55" spans="2:19" x14ac:dyDescent="0.2">
      <c r="B55" s="50"/>
    </row>
    <row r="56" spans="2:19" x14ac:dyDescent="0.2">
      <c r="C56" s="499"/>
      <c r="D56" s="499"/>
    </row>
    <row r="61" spans="2:19" x14ac:dyDescent="0.2">
      <c r="E61" s="500"/>
      <c r="F61" s="500"/>
      <c r="G61" s="500"/>
      <c r="H61" s="500"/>
      <c r="I61" s="500"/>
      <c r="J61" s="500"/>
      <c r="K61" s="500"/>
      <c r="L61" s="500"/>
      <c r="M61" s="500"/>
      <c r="N61" s="500"/>
      <c r="O61" s="500"/>
      <c r="P61" s="500"/>
      <c r="Q61" s="500"/>
      <c r="R61" s="500"/>
      <c r="S61" s="500"/>
    </row>
    <row r="63" spans="2:19" x14ac:dyDescent="0.2">
      <c r="B63" s="523"/>
      <c r="C63" s="523"/>
      <c r="D63" s="523"/>
    </row>
    <row r="64" spans="2:19" x14ac:dyDescent="0.2">
      <c r="B64" s="523"/>
      <c r="C64" s="523"/>
      <c r="D64" s="523"/>
    </row>
  </sheetData>
  <mergeCells count="1">
    <mergeCell ref="D7:L7"/>
  </mergeCells>
  <phoneticPr fontId="0" type="noConversion"/>
  <printOptions horizontalCentered="1"/>
  <pageMargins left="1" right="1" top="1" bottom="0.99" header="0.5" footer="0.5"/>
  <pageSetup scale="54" orientation="portrait" horizontalDpi="300" verticalDpi="300" r:id="rId1"/>
  <headerFooter alignWithMargins="0"/>
  <drawing r:id="rId2"/>
  <legacyDrawing r:id="rId3"/>
  <oleObjects>
    <mc:AlternateContent xmlns:mc="http://schemas.openxmlformats.org/markup-compatibility/2006">
      <mc:Choice Requires="x14">
        <oleObject progId="MSPhotoEd.3" shapeId="10241" r:id="rId4">
          <objectPr defaultSize="0" autoPict="0" r:id="rId5">
            <anchor moveWithCells="1" sizeWithCells="1">
              <from>
                <xdr:col>0</xdr:col>
                <xdr:colOff>352425</xdr:colOff>
                <xdr:row>0</xdr:row>
                <xdr:rowOff>9525</xdr:rowOff>
              </from>
              <to>
                <xdr:col>0</xdr:col>
                <xdr:colOff>428625</xdr:colOff>
                <xdr:row>0</xdr:row>
                <xdr:rowOff>38100</xdr:rowOff>
              </to>
            </anchor>
          </objectPr>
        </oleObject>
      </mc:Choice>
      <mc:Fallback>
        <oleObject progId="MSPhotoEd.3" shapeId="10241" r:id="rId4"/>
      </mc:Fallback>
    </mc:AlternateContent>
    <mc:AlternateContent xmlns:mc="http://schemas.openxmlformats.org/markup-compatibility/2006">
      <mc:Choice Requires="x14">
        <oleObject progId="MSPhotoEd.3" shapeId="10242" r:id="rId6">
          <objectPr defaultSize="0" autoPict="0" r:id="rId5">
            <anchor moveWithCells="1" sizeWithCells="1">
              <from>
                <xdr:col>0</xdr:col>
                <xdr:colOff>38100</xdr:colOff>
                <xdr:row>1</xdr:row>
                <xdr:rowOff>95250</xdr:rowOff>
              </from>
              <to>
                <xdr:col>3</xdr:col>
                <xdr:colOff>47625</xdr:colOff>
                <xdr:row>3</xdr:row>
                <xdr:rowOff>76200</xdr:rowOff>
              </to>
            </anchor>
          </objectPr>
        </oleObject>
      </mc:Choice>
      <mc:Fallback>
        <oleObject progId="MSPhotoEd.3" shapeId="10242" r:id="rId6"/>
      </mc:Fallback>
    </mc:AlternateContent>
  </oleObjec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C4:V68"/>
  <sheetViews>
    <sheetView view="pageBreakPreview" zoomScaleNormal="100" zoomScaleSheetLayoutView="100" workbookViewId="0">
      <selection activeCell="K36" sqref="K36"/>
    </sheetView>
  </sheetViews>
  <sheetFormatPr defaultColWidth="9.140625" defaultRowHeight="12.75" x14ac:dyDescent="0.2"/>
  <cols>
    <col min="1" max="2" width="9.140625" style="102"/>
    <col min="3" max="3" width="7.42578125" style="102" customWidth="1"/>
    <col min="4" max="4" width="19.42578125" style="102" customWidth="1"/>
    <col min="5" max="5" width="9.140625" style="102"/>
    <col min="6" max="6" width="0" style="102" hidden="1" customWidth="1"/>
    <col min="7" max="7" width="11" style="102" hidden="1" customWidth="1"/>
    <col min="8" max="8" width="7.85546875" style="102" customWidth="1"/>
    <col min="9" max="9" width="8.85546875" style="102" customWidth="1"/>
    <col min="10" max="10" width="11.140625" style="102" customWidth="1"/>
    <col min="11" max="11" width="7.42578125" style="102" customWidth="1"/>
    <col min="12" max="12" width="9.42578125" style="102" customWidth="1"/>
    <col min="13" max="13" width="11.28515625" style="102" customWidth="1"/>
    <col min="14" max="14" width="6.42578125" style="102" customWidth="1"/>
    <col min="15" max="15" width="11.42578125" style="102" customWidth="1"/>
    <col min="16" max="16" width="12.140625" style="102" customWidth="1"/>
    <col min="17" max="17" width="9.140625" style="102"/>
    <col min="18" max="18" width="4.85546875" style="102" customWidth="1"/>
    <col min="19" max="19" width="10.85546875" style="102" customWidth="1"/>
    <col min="20" max="20" width="13.5703125" style="102" customWidth="1"/>
    <col min="21" max="21" width="9.140625" style="102"/>
    <col min="22" max="22" width="4.140625" style="102" customWidth="1"/>
    <col min="23" max="16384" width="9.140625" style="102"/>
  </cols>
  <sheetData>
    <row r="4" spans="3:22" ht="15" x14ac:dyDescent="0.25">
      <c r="E4" s="103"/>
      <c r="F4" s="103"/>
      <c r="G4" s="103"/>
      <c r="H4" s="103"/>
      <c r="I4" s="103"/>
      <c r="J4" s="103"/>
      <c r="K4" s="103"/>
      <c r="L4" s="103"/>
      <c r="M4" s="104" t="s">
        <v>324</v>
      </c>
      <c r="N4" s="104"/>
    </row>
    <row r="5" spans="3:22" ht="9" customHeight="1" x14ac:dyDescent="0.2">
      <c r="C5" s="105"/>
      <c r="D5" s="105"/>
      <c r="E5" s="105"/>
      <c r="F5" s="105"/>
      <c r="G5" s="105"/>
      <c r="H5" s="105"/>
      <c r="I5" s="105"/>
      <c r="J5" s="105"/>
      <c r="K5" s="105"/>
      <c r="L5" s="105"/>
      <c r="M5" s="105"/>
      <c r="N5" s="105"/>
      <c r="O5" s="105"/>
      <c r="P5" s="105"/>
      <c r="Q5" s="105"/>
      <c r="R5" s="105"/>
    </row>
    <row r="7" spans="3:22" x14ac:dyDescent="0.2">
      <c r="D7" s="127"/>
      <c r="E7" s="126"/>
      <c r="F7" s="126"/>
      <c r="G7" s="126"/>
      <c r="H7" s="126"/>
      <c r="I7" s="126"/>
      <c r="J7" s="126"/>
      <c r="K7" s="126"/>
      <c r="L7" s="126"/>
      <c r="M7" s="161"/>
      <c r="N7" s="161"/>
    </row>
    <row r="8" spans="3:22" x14ac:dyDescent="0.2">
      <c r="D8" s="127"/>
      <c r="E8" s="126"/>
      <c r="F8" s="126"/>
      <c r="G8" s="126"/>
      <c r="H8" s="126"/>
      <c r="I8" s="126"/>
      <c r="J8" s="126"/>
      <c r="K8" s="126"/>
      <c r="L8" s="126"/>
      <c r="M8" s="161"/>
      <c r="N8" s="161"/>
    </row>
    <row r="9" spans="3:22" ht="15.75" x14ac:dyDescent="0.25">
      <c r="C9" s="309" t="s">
        <v>320</v>
      </c>
      <c r="D9" s="763" t="s">
        <v>325</v>
      </c>
      <c r="E9" s="763"/>
      <c r="F9" s="763"/>
      <c r="G9" s="763"/>
      <c r="H9" s="763"/>
      <c r="I9" s="763"/>
      <c r="J9" s="763"/>
      <c r="K9" s="763"/>
      <c r="L9" s="763"/>
      <c r="M9" s="763"/>
      <c r="N9" s="763"/>
      <c r="O9" s="763"/>
      <c r="P9" s="763"/>
      <c r="Q9" s="763"/>
      <c r="R9" s="763"/>
    </row>
    <row r="10" spans="3:22" x14ac:dyDescent="0.2">
      <c r="C10" s="310"/>
      <c r="D10" s="311"/>
      <c r="E10" s="307"/>
      <c r="F10" s="307"/>
      <c r="G10" s="307"/>
      <c r="H10" s="307"/>
      <c r="I10" s="307"/>
      <c r="J10" s="307"/>
      <c r="K10" s="307"/>
      <c r="L10" s="307"/>
      <c r="M10" s="307"/>
      <c r="N10" s="308"/>
      <c r="O10" s="310"/>
      <c r="P10" s="310"/>
      <c r="Q10" s="310"/>
      <c r="R10" s="310"/>
    </row>
    <row r="11" spans="3:22" ht="17.25" customHeight="1" x14ac:dyDescent="0.2">
      <c r="C11" s="310"/>
      <c r="D11" s="312"/>
      <c r="E11" s="313"/>
      <c r="F11" s="314">
        <v>2009</v>
      </c>
      <c r="G11" s="315"/>
      <c r="H11" s="316"/>
      <c r="I11" s="760">
        <v>2010</v>
      </c>
      <c r="J11" s="760"/>
      <c r="K11" s="316"/>
      <c r="L11" s="314" t="s">
        <v>203</v>
      </c>
      <c r="M11" s="315"/>
      <c r="N11" s="315"/>
      <c r="O11" s="760">
        <v>2012</v>
      </c>
      <c r="P11" s="760"/>
      <c r="Q11" s="760"/>
      <c r="R11" s="760"/>
      <c r="S11" s="760">
        <v>2013</v>
      </c>
      <c r="T11" s="760"/>
      <c r="U11" s="760"/>
      <c r="V11" s="760"/>
    </row>
    <row r="12" spans="3:22" ht="18" customHeight="1" x14ac:dyDescent="0.2">
      <c r="C12" s="310"/>
      <c r="D12" s="317" t="s">
        <v>182</v>
      </c>
      <c r="E12" s="318"/>
      <c r="F12" s="319" t="s">
        <v>183</v>
      </c>
      <c r="G12" s="319" t="s">
        <v>184</v>
      </c>
      <c r="H12" s="307"/>
      <c r="I12" s="319" t="s">
        <v>183</v>
      </c>
      <c r="J12" s="319" t="s">
        <v>184</v>
      </c>
      <c r="K12" s="319"/>
      <c r="L12" s="319" t="s">
        <v>183</v>
      </c>
      <c r="M12" s="319" t="s">
        <v>184</v>
      </c>
      <c r="N12" s="319"/>
      <c r="O12" s="319" t="s">
        <v>183</v>
      </c>
      <c r="P12" s="319" t="s">
        <v>184</v>
      </c>
      <c r="Q12" s="764" t="s">
        <v>279</v>
      </c>
      <c r="R12" s="764"/>
      <c r="S12" s="319" t="s">
        <v>183</v>
      </c>
      <c r="T12" s="319" t="s">
        <v>184</v>
      </c>
      <c r="U12" s="764" t="s">
        <v>279</v>
      </c>
      <c r="V12" s="764"/>
    </row>
    <row r="13" spans="3:22" ht="12" customHeight="1" x14ac:dyDescent="0.2">
      <c r="C13" s="310"/>
      <c r="D13" s="320"/>
      <c r="E13" s="310"/>
      <c r="F13" s="321"/>
      <c r="G13" s="321"/>
      <c r="H13" s="181"/>
      <c r="I13" s="321"/>
      <c r="J13" s="321"/>
      <c r="K13" s="321"/>
      <c r="L13" s="321"/>
      <c r="M13" s="321"/>
      <c r="N13" s="321"/>
      <c r="O13" s="321"/>
      <c r="P13" s="321"/>
      <c r="Q13" s="761"/>
      <c r="R13" s="761"/>
      <c r="S13" s="321"/>
      <c r="T13" s="321"/>
      <c r="U13" s="761"/>
      <c r="V13" s="761"/>
    </row>
    <row r="14" spans="3:22" ht="13.5" customHeight="1" x14ac:dyDescent="0.2">
      <c r="C14" s="310"/>
      <c r="D14" s="322" t="s">
        <v>25</v>
      </c>
      <c r="E14" s="323"/>
      <c r="F14" s="305">
        <f>SUM(F16+F18+F20+F22+F24+F26)</f>
        <v>35549</v>
      </c>
      <c r="G14" s="305">
        <f>SUM(G16+G18+G20+G22+G24+G26)</f>
        <v>36108</v>
      </c>
      <c r="H14" s="308"/>
      <c r="I14" s="305">
        <f>SUM(I16+I18+I20+I22+I24+I26)</f>
        <v>41080</v>
      </c>
      <c r="J14" s="305">
        <f>SUM(J16+J18+J20+J22+J24+J26)</f>
        <v>39671</v>
      </c>
      <c r="K14" s="305"/>
      <c r="L14" s="305">
        <f>SUM(L16+L18+L20+L22+L24+L26)</f>
        <v>8161</v>
      </c>
      <c r="M14" s="305">
        <f>SUM(M16+M18+M20+M22+M24+M26)</f>
        <v>7269</v>
      </c>
      <c r="N14" s="305"/>
      <c r="O14" s="305">
        <v>27259</v>
      </c>
      <c r="P14" s="305">
        <v>34378</v>
      </c>
      <c r="Q14" s="765">
        <v>26583</v>
      </c>
      <c r="R14" s="765"/>
      <c r="S14" s="305"/>
      <c r="T14" s="305"/>
      <c r="U14" s="765"/>
      <c r="V14" s="765"/>
    </row>
    <row r="15" spans="3:22" ht="12" customHeight="1" x14ac:dyDescent="0.2">
      <c r="C15" s="310"/>
      <c r="D15" s="320"/>
      <c r="E15" s="323"/>
      <c r="F15" s="321"/>
      <c r="G15" s="321"/>
      <c r="H15" s="308"/>
      <c r="I15" s="321"/>
      <c r="J15" s="321"/>
      <c r="K15" s="321"/>
      <c r="L15" s="321"/>
      <c r="M15" s="321"/>
      <c r="N15" s="321"/>
      <c r="O15" s="321"/>
      <c r="P15" s="321"/>
      <c r="Q15" s="766"/>
      <c r="R15" s="766"/>
      <c r="S15" s="321"/>
      <c r="T15" s="321"/>
      <c r="U15" s="766"/>
      <c r="V15" s="766"/>
    </row>
    <row r="16" spans="3:22" ht="12" customHeight="1" x14ac:dyDescent="0.2">
      <c r="C16" s="310"/>
      <c r="D16" s="312" t="s">
        <v>177</v>
      </c>
      <c r="E16" s="310"/>
      <c r="F16" s="308">
        <v>14480</v>
      </c>
      <c r="G16" s="308">
        <v>14709</v>
      </c>
      <c r="H16" s="181"/>
      <c r="I16" s="308">
        <v>23852</v>
      </c>
      <c r="J16" s="308">
        <v>22277</v>
      </c>
      <c r="K16" s="308"/>
      <c r="L16" s="308">
        <v>7465</v>
      </c>
      <c r="M16" s="308">
        <v>5907</v>
      </c>
      <c r="N16" s="308"/>
      <c r="O16" s="308">
        <v>14614</v>
      </c>
      <c r="P16" s="308">
        <v>19168</v>
      </c>
      <c r="Q16" s="762">
        <v>8184</v>
      </c>
      <c r="R16" s="762"/>
      <c r="S16" s="308"/>
      <c r="T16" s="308"/>
      <c r="U16" s="762"/>
      <c r="V16" s="762"/>
    </row>
    <row r="17" spans="3:22" ht="13.5" customHeight="1" x14ac:dyDescent="0.2">
      <c r="C17" s="310"/>
      <c r="D17" s="312"/>
      <c r="E17" s="310"/>
      <c r="F17" s="308"/>
      <c r="G17" s="308"/>
      <c r="H17" s="181"/>
      <c r="I17" s="308"/>
      <c r="J17" s="308"/>
      <c r="K17" s="308"/>
      <c r="L17" s="308"/>
      <c r="M17" s="308"/>
      <c r="N17" s="308"/>
      <c r="O17" s="308"/>
      <c r="P17" s="308"/>
      <c r="Q17" s="762"/>
      <c r="R17" s="762"/>
      <c r="S17" s="308"/>
      <c r="T17" s="308"/>
      <c r="U17" s="762"/>
      <c r="V17" s="762"/>
    </row>
    <row r="18" spans="3:22" ht="13.5" customHeight="1" x14ac:dyDescent="0.2">
      <c r="C18" s="310"/>
      <c r="D18" s="312" t="s">
        <v>178</v>
      </c>
      <c r="E18" s="310"/>
      <c r="F18" s="308">
        <v>10046</v>
      </c>
      <c r="G18" s="308">
        <v>9665</v>
      </c>
      <c r="H18" s="181"/>
      <c r="I18" s="308">
        <v>7425</v>
      </c>
      <c r="J18" s="308">
        <v>7413</v>
      </c>
      <c r="K18" s="308"/>
      <c r="L18" s="308">
        <v>281</v>
      </c>
      <c r="M18" s="308">
        <v>830</v>
      </c>
      <c r="N18" s="308"/>
      <c r="O18" s="308">
        <v>5805</v>
      </c>
      <c r="P18" s="308">
        <v>6958</v>
      </c>
      <c r="Q18" s="762">
        <v>13499</v>
      </c>
      <c r="R18" s="762"/>
      <c r="S18" s="308"/>
      <c r="T18" s="308"/>
      <c r="U18" s="762"/>
      <c r="V18" s="762"/>
    </row>
    <row r="19" spans="3:22" ht="13.5" customHeight="1" x14ac:dyDescent="0.2">
      <c r="C19" s="310"/>
      <c r="D19" s="312"/>
      <c r="E19" s="310"/>
      <c r="F19" s="308"/>
      <c r="G19" s="308"/>
      <c r="H19" s="181"/>
      <c r="I19" s="308"/>
      <c r="J19" s="308"/>
      <c r="K19" s="308"/>
      <c r="L19" s="308"/>
      <c r="M19" s="308"/>
      <c r="N19" s="308"/>
      <c r="O19" s="308"/>
      <c r="P19" s="308"/>
      <c r="Q19" s="762"/>
      <c r="R19" s="762"/>
      <c r="S19" s="308"/>
      <c r="T19" s="308"/>
      <c r="U19" s="762"/>
      <c r="V19" s="762"/>
    </row>
    <row r="20" spans="3:22" ht="13.5" customHeight="1" x14ac:dyDescent="0.2">
      <c r="C20" s="310"/>
      <c r="D20" s="312" t="s">
        <v>179</v>
      </c>
      <c r="E20" s="310"/>
      <c r="F20" s="308">
        <v>3805</v>
      </c>
      <c r="G20" s="308">
        <v>3757</v>
      </c>
      <c r="H20" s="181"/>
      <c r="I20" s="308">
        <v>947</v>
      </c>
      <c r="J20" s="308">
        <v>959</v>
      </c>
      <c r="K20" s="308"/>
      <c r="L20" s="308">
        <v>110</v>
      </c>
      <c r="M20" s="308">
        <v>210</v>
      </c>
      <c r="N20" s="308"/>
      <c r="O20" s="308">
        <v>2039</v>
      </c>
      <c r="P20" s="308">
        <v>2577</v>
      </c>
      <c r="Q20" s="762">
        <v>1910</v>
      </c>
      <c r="R20" s="762"/>
      <c r="S20" s="308"/>
      <c r="T20" s="308"/>
      <c r="U20" s="762"/>
      <c r="V20" s="762"/>
    </row>
    <row r="21" spans="3:22" ht="13.5" customHeight="1" x14ac:dyDescent="0.2">
      <c r="C21" s="310"/>
      <c r="D21" s="312"/>
      <c r="E21" s="310"/>
      <c r="F21" s="305"/>
      <c r="G21" s="305"/>
      <c r="H21" s="181"/>
      <c r="I21" s="305"/>
      <c r="J21" s="305"/>
      <c r="K21" s="305"/>
      <c r="L21" s="305"/>
      <c r="M21" s="305"/>
      <c r="N21" s="305"/>
      <c r="O21" s="305"/>
      <c r="P21" s="305"/>
      <c r="Q21" s="762"/>
      <c r="R21" s="762"/>
      <c r="S21" s="305"/>
      <c r="T21" s="305"/>
      <c r="U21" s="762"/>
      <c r="V21" s="762"/>
    </row>
    <row r="22" spans="3:22" ht="13.5" customHeight="1" x14ac:dyDescent="0.2">
      <c r="C22" s="310"/>
      <c r="D22" s="312" t="s">
        <v>180</v>
      </c>
      <c r="E22" s="310"/>
      <c r="F22" s="308">
        <v>1682</v>
      </c>
      <c r="G22" s="308">
        <v>2149</v>
      </c>
      <c r="H22" s="181"/>
      <c r="I22" s="308">
        <v>2088</v>
      </c>
      <c r="J22" s="308">
        <v>2126</v>
      </c>
      <c r="K22" s="308"/>
      <c r="L22" s="308">
        <v>18</v>
      </c>
      <c r="M22" s="308">
        <v>75</v>
      </c>
      <c r="N22" s="308"/>
      <c r="O22" s="308">
        <v>1062</v>
      </c>
      <c r="P22" s="308">
        <v>1225</v>
      </c>
      <c r="Q22" s="762">
        <v>188</v>
      </c>
      <c r="R22" s="762"/>
      <c r="S22" s="308"/>
      <c r="T22" s="308"/>
      <c r="U22" s="762"/>
      <c r="V22" s="762"/>
    </row>
    <row r="23" spans="3:22" ht="13.5" customHeight="1" x14ac:dyDescent="0.2">
      <c r="C23" s="310"/>
      <c r="D23" s="312"/>
      <c r="E23" s="310"/>
      <c r="F23" s="308"/>
      <c r="G23" s="308"/>
      <c r="H23" s="181"/>
      <c r="I23" s="308"/>
      <c r="J23" s="308"/>
      <c r="K23" s="308"/>
      <c r="L23" s="308"/>
      <c r="M23" s="308"/>
      <c r="N23" s="308"/>
      <c r="O23" s="308"/>
      <c r="P23" s="308"/>
      <c r="Q23" s="762"/>
      <c r="R23" s="762"/>
      <c r="S23" s="308"/>
      <c r="T23" s="308"/>
      <c r="U23" s="762"/>
      <c r="V23" s="762"/>
    </row>
    <row r="24" spans="3:22" ht="13.5" customHeight="1" x14ac:dyDescent="0.2">
      <c r="C24" s="310"/>
      <c r="D24" s="312" t="s">
        <v>181</v>
      </c>
      <c r="E24" s="310"/>
      <c r="F24" s="308">
        <v>604</v>
      </c>
      <c r="G24" s="308">
        <v>713</v>
      </c>
      <c r="H24" s="181"/>
      <c r="I24" s="308">
        <v>1890</v>
      </c>
      <c r="J24" s="308">
        <v>1899</v>
      </c>
      <c r="K24" s="308"/>
      <c r="L24" s="308">
        <v>59</v>
      </c>
      <c r="M24" s="308">
        <v>105</v>
      </c>
      <c r="N24" s="308"/>
      <c r="O24" s="308">
        <v>913</v>
      </c>
      <c r="P24" s="308">
        <v>1065</v>
      </c>
      <c r="Q24" s="762">
        <v>1201</v>
      </c>
      <c r="R24" s="762"/>
      <c r="S24" s="308"/>
      <c r="T24" s="308"/>
      <c r="U24" s="762"/>
      <c r="V24" s="762"/>
    </row>
    <row r="25" spans="3:22" ht="13.5" customHeight="1" x14ac:dyDescent="0.2">
      <c r="C25" s="310"/>
      <c r="D25" s="312"/>
      <c r="E25" s="310"/>
      <c r="F25" s="308"/>
      <c r="G25" s="308"/>
      <c r="H25" s="181"/>
      <c r="I25" s="308"/>
      <c r="J25" s="308"/>
      <c r="K25" s="308"/>
      <c r="L25" s="308"/>
      <c r="M25" s="308"/>
      <c r="N25" s="308"/>
      <c r="O25" s="308"/>
      <c r="P25" s="308"/>
      <c r="Q25" s="762"/>
      <c r="R25" s="762"/>
      <c r="S25" s="308"/>
      <c r="T25" s="308"/>
      <c r="U25" s="762"/>
      <c r="V25" s="762"/>
    </row>
    <row r="26" spans="3:22" ht="13.5" customHeight="1" x14ac:dyDescent="0.2">
      <c r="C26" s="310"/>
      <c r="D26" s="311" t="s">
        <v>19</v>
      </c>
      <c r="E26" s="318"/>
      <c r="F26" s="307">
        <v>4932</v>
      </c>
      <c r="G26" s="307">
        <v>5115</v>
      </c>
      <c r="H26" s="307"/>
      <c r="I26" s="307">
        <v>4878</v>
      </c>
      <c r="J26" s="307">
        <v>4997</v>
      </c>
      <c r="K26" s="307"/>
      <c r="L26" s="307">
        <v>228</v>
      </c>
      <c r="M26" s="307">
        <v>142</v>
      </c>
      <c r="N26" s="307"/>
      <c r="O26" s="307">
        <v>2826</v>
      </c>
      <c r="P26" s="307">
        <v>3385</v>
      </c>
      <c r="Q26" s="767">
        <v>1601</v>
      </c>
      <c r="R26" s="767"/>
      <c r="S26" s="349"/>
      <c r="T26" s="349"/>
      <c r="U26" s="767"/>
      <c r="V26" s="767"/>
    </row>
    <row r="27" spans="3:22" x14ac:dyDescent="0.2">
      <c r="C27" s="310"/>
      <c r="D27" s="324" t="s">
        <v>197</v>
      </c>
      <c r="E27" s="310"/>
      <c r="F27" s="310"/>
      <c r="G27" s="310"/>
      <c r="H27" s="310"/>
      <c r="I27" s="310"/>
      <c r="J27" s="310"/>
      <c r="K27" s="310"/>
      <c r="L27" s="310"/>
      <c r="M27" s="310"/>
      <c r="N27" s="310"/>
      <c r="O27" s="310"/>
      <c r="P27" s="310"/>
      <c r="Q27" s="310"/>
      <c r="R27" s="310"/>
    </row>
    <row r="28" spans="3:22" ht="13.5" customHeight="1" x14ac:dyDescent="0.2">
      <c r="C28" s="310"/>
      <c r="D28" s="310" t="s">
        <v>202</v>
      </c>
      <c r="E28" s="310"/>
      <c r="F28" s="310"/>
      <c r="G28" s="310"/>
      <c r="H28" s="310"/>
      <c r="I28" s="310"/>
      <c r="J28" s="310"/>
      <c r="K28" s="310"/>
      <c r="L28" s="310"/>
      <c r="M28" s="310"/>
      <c r="N28" s="310"/>
      <c r="O28" s="310"/>
      <c r="P28" s="310"/>
      <c r="Q28" s="310"/>
      <c r="R28" s="310"/>
    </row>
    <row r="29" spans="3:22" ht="13.5" customHeight="1" x14ac:dyDescent="0.2">
      <c r="C29" s="310"/>
      <c r="D29" s="310"/>
      <c r="E29" s="310"/>
      <c r="F29" s="310"/>
      <c r="G29" s="310"/>
      <c r="H29" s="310"/>
      <c r="I29" s="310"/>
      <c r="J29" s="310"/>
      <c r="K29" s="310"/>
      <c r="L29" s="310"/>
      <c r="M29" s="310"/>
      <c r="N29" s="310"/>
      <c r="O29" s="310"/>
      <c r="P29" s="310"/>
      <c r="Q29" s="310"/>
      <c r="R29" s="310"/>
    </row>
    <row r="30" spans="3:22" ht="13.5" customHeight="1" x14ac:dyDescent="0.2">
      <c r="C30" s="310"/>
      <c r="D30" s="180" t="s">
        <v>198</v>
      </c>
      <c r="E30" s="310"/>
      <c r="F30" s="310"/>
      <c r="G30" s="310"/>
      <c r="H30" s="310"/>
      <c r="I30" s="310"/>
      <c r="J30" s="310"/>
      <c r="K30" s="310"/>
      <c r="L30" s="310"/>
      <c r="M30" s="310"/>
      <c r="N30" s="310"/>
      <c r="O30" s="310"/>
      <c r="P30" s="310"/>
      <c r="Q30" s="310"/>
      <c r="R30" s="310"/>
    </row>
    <row r="31" spans="3:22" ht="13.5" customHeight="1" x14ac:dyDescent="0.2">
      <c r="C31" s="310"/>
      <c r="D31" s="325"/>
      <c r="E31" s="310"/>
      <c r="F31" s="310"/>
      <c r="G31" s="310"/>
      <c r="H31" s="310"/>
      <c r="I31" s="310"/>
      <c r="J31" s="310"/>
      <c r="K31" s="310"/>
      <c r="L31" s="310"/>
      <c r="M31" s="310"/>
      <c r="N31" s="310"/>
      <c r="O31" s="310"/>
      <c r="P31" s="310"/>
      <c r="Q31" s="310"/>
      <c r="R31" s="310"/>
    </row>
    <row r="32" spans="3:22" ht="13.5" customHeight="1" x14ac:dyDescent="0.2">
      <c r="C32" s="310"/>
      <c r="D32" s="326" t="s">
        <v>205</v>
      </c>
      <c r="E32" s="310"/>
      <c r="F32" s="310"/>
      <c r="G32" s="310"/>
      <c r="H32" s="310"/>
      <c r="I32" s="310"/>
      <c r="J32" s="310"/>
      <c r="K32" s="310"/>
      <c r="L32" s="310"/>
      <c r="M32" s="310"/>
      <c r="N32" s="310"/>
      <c r="O32" s="310"/>
      <c r="P32" s="310"/>
      <c r="Q32" s="310"/>
      <c r="R32" s="310"/>
    </row>
    <row r="33" spans="3:18" ht="13.5" customHeight="1" x14ac:dyDescent="0.2">
      <c r="D33" s="103"/>
    </row>
    <row r="34" spans="3:18" ht="13.5" customHeight="1" x14ac:dyDescent="0.2">
      <c r="D34" s="103"/>
    </row>
    <row r="35" spans="3:18" ht="13.5" customHeight="1" x14ac:dyDescent="0.2">
      <c r="D35" s="103"/>
    </row>
    <row r="36" spans="3:18" x14ac:dyDescent="0.2">
      <c r="E36" s="107"/>
      <c r="F36" s="107"/>
      <c r="G36" s="107"/>
      <c r="H36" s="107"/>
      <c r="I36" s="107"/>
      <c r="J36" s="107"/>
      <c r="K36" s="107"/>
      <c r="L36" s="107"/>
      <c r="M36" s="107"/>
      <c r="N36" s="107"/>
    </row>
    <row r="37" spans="3:18" x14ac:dyDescent="0.2">
      <c r="E37" s="107"/>
      <c r="F37" s="107"/>
      <c r="G37" s="107"/>
      <c r="H37" s="107"/>
      <c r="I37" s="107"/>
      <c r="J37" s="107"/>
      <c r="K37" s="107"/>
      <c r="L37" s="107"/>
      <c r="M37" s="107"/>
      <c r="N37" s="107"/>
    </row>
    <row r="38" spans="3:18" ht="9" customHeight="1" x14ac:dyDescent="0.2">
      <c r="C38" s="108"/>
      <c r="D38" s="108"/>
      <c r="E38" s="108"/>
      <c r="F38" s="108"/>
      <c r="G38" s="108"/>
      <c r="H38" s="108"/>
      <c r="I38" s="108"/>
      <c r="J38" s="108"/>
      <c r="K38" s="108"/>
      <c r="L38" s="108"/>
      <c r="M38" s="108"/>
      <c r="N38" s="108"/>
      <c r="O38" s="108"/>
      <c r="P38" s="108"/>
      <c r="Q38" s="108"/>
      <c r="R38" s="108"/>
    </row>
    <row r="39" spans="3:18" x14ac:dyDescent="0.2">
      <c r="C39" s="723">
        <v>37</v>
      </c>
      <c r="D39" s="723"/>
      <c r="E39" s="723"/>
      <c r="F39" s="723"/>
      <c r="G39" s="723"/>
      <c r="H39" s="723"/>
      <c r="I39" s="723"/>
      <c r="J39" s="723"/>
      <c r="K39" s="723"/>
      <c r="L39" s="723"/>
      <c r="M39" s="723"/>
      <c r="N39" s="18"/>
    </row>
    <row r="40" spans="3:18" x14ac:dyDescent="0.2">
      <c r="E40" s="106"/>
      <c r="F40" s="106"/>
      <c r="G40" s="106"/>
      <c r="H40" s="106"/>
      <c r="I40" s="106"/>
      <c r="J40" s="106"/>
      <c r="K40" s="106"/>
      <c r="L40" s="106"/>
      <c r="M40" s="106"/>
      <c r="N40" s="106"/>
    </row>
    <row r="41" spans="3:18" x14ac:dyDescent="0.2">
      <c r="D41" s="109"/>
      <c r="E41" s="106"/>
      <c r="F41" s="106"/>
      <c r="G41" s="106"/>
      <c r="H41" s="106"/>
      <c r="I41" s="106"/>
      <c r="J41" s="106"/>
      <c r="K41" s="106"/>
      <c r="L41" s="106"/>
      <c r="M41" s="106"/>
      <c r="N41" s="106"/>
    </row>
    <row r="42" spans="3:18" x14ac:dyDescent="0.2">
      <c r="E42" s="106"/>
      <c r="F42" s="106"/>
      <c r="G42" s="106"/>
      <c r="H42" s="106"/>
      <c r="I42" s="106"/>
      <c r="J42" s="106"/>
      <c r="K42" s="106"/>
      <c r="L42" s="106"/>
      <c r="M42" s="106"/>
      <c r="N42" s="106"/>
    </row>
    <row r="43" spans="3:18" x14ac:dyDescent="0.2">
      <c r="E43" s="106"/>
      <c r="F43" s="106"/>
      <c r="G43" s="106"/>
      <c r="H43" s="106"/>
      <c r="I43" s="106"/>
      <c r="J43" s="106"/>
      <c r="K43" s="106"/>
      <c r="L43" s="106"/>
      <c r="M43" s="106"/>
      <c r="N43" s="106"/>
    </row>
    <row r="44" spans="3:18" x14ac:dyDescent="0.2">
      <c r="E44" s="106"/>
      <c r="F44" s="106"/>
      <c r="G44" s="106"/>
      <c r="H44" s="106"/>
      <c r="I44" s="106"/>
      <c r="J44" s="106"/>
      <c r="K44" s="106"/>
      <c r="L44" s="106"/>
      <c r="M44" s="106"/>
      <c r="N44" s="106"/>
    </row>
    <row r="45" spans="3:18" x14ac:dyDescent="0.2">
      <c r="E45" s="106"/>
      <c r="F45" s="106"/>
      <c r="G45" s="106"/>
      <c r="H45" s="106"/>
      <c r="I45" s="106"/>
      <c r="J45" s="106"/>
      <c r="K45" s="106"/>
      <c r="L45" s="106"/>
      <c r="M45" s="106"/>
      <c r="N45" s="106"/>
    </row>
    <row r="46" spans="3:18" x14ac:dyDescent="0.2">
      <c r="C46"/>
      <c r="D46"/>
      <c r="E46"/>
      <c r="F46"/>
      <c r="G46"/>
      <c r="H46"/>
      <c r="I46"/>
      <c r="J46"/>
      <c r="K46"/>
      <c r="L46"/>
      <c r="M46"/>
      <c r="N46"/>
    </row>
    <row r="47" spans="3:18" x14ac:dyDescent="0.2">
      <c r="C47"/>
      <c r="D47"/>
      <c r="E47"/>
      <c r="F47"/>
      <c r="G47"/>
      <c r="H47"/>
      <c r="I47"/>
      <c r="J47"/>
      <c r="K47"/>
      <c r="L47"/>
      <c r="M47"/>
      <c r="N47"/>
    </row>
    <row r="48" spans="3:18" x14ac:dyDescent="0.2">
      <c r="C48"/>
      <c r="D48"/>
      <c r="E48"/>
      <c r="F48"/>
      <c r="G48"/>
      <c r="H48"/>
      <c r="I48"/>
      <c r="J48"/>
      <c r="K48"/>
      <c r="L48"/>
      <c r="M48"/>
      <c r="N48"/>
    </row>
    <row r="49" spans="3:14" x14ac:dyDescent="0.2">
      <c r="C49"/>
      <c r="D49"/>
      <c r="E49"/>
      <c r="F49"/>
      <c r="G49"/>
      <c r="H49"/>
      <c r="I49"/>
      <c r="J49"/>
      <c r="K49"/>
      <c r="L49"/>
      <c r="M49"/>
      <c r="N49"/>
    </row>
    <row r="50" spans="3:14" x14ac:dyDescent="0.2">
      <c r="C50"/>
      <c r="D50"/>
      <c r="E50"/>
      <c r="F50"/>
      <c r="G50"/>
      <c r="H50"/>
      <c r="I50"/>
      <c r="J50"/>
      <c r="K50"/>
      <c r="L50"/>
      <c r="M50"/>
      <c r="N50"/>
    </row>
    <row r="51" spans="3:14" ht="12" customHeight="1" x14ac:dyDescent="0.2">
      <c r="C51"/>
      <c r="D51"/>
      <c r="E51"/>
      <c r="F51"/>
      <c r="G51"/>
      <c r="H51"/>
      <c r="I51"/>
      <c r="J51"/>
      <c r="K51"/>
      <c r="L51"/>
      <c r="M51"/>
      <c r="N51"/>
    </row>
    <row r="52" spans="3:14" x14ac:dyDescent="0.2">
      <c r="C52"/>
      <c r="D52"/>
      <c r="E52"/>
      <c r="F52"/>
      <c r="G52"/>
      <c r="H52"/>
      <c r="I52"/>
      <c r="J52"/>
      <c r="K52"/>
      <c r="L52"/>
      <c r="M52"/>
      <c r="N52"/>
    </row>
    <row r="53" spans="3:14" x14ac:dyDescent="0.2">
      <c r="C53"/>
      <c r="D53"/>
      <c r="E53"/>
      <c r="F53"/>
      <c r="G53"/>
      <c r="H53"/>
      <c r="I53"/>
      <c r="J53"/>
      <c r="K53"/>
      <c r="L53"/>
      <c r="M53"/>
      <c r="N53"/>
    </row>
    <row r="54" spans="3:14" x14ac:dyDescent="0.2">
      <c r="C54"/>
      <c r="D54"/>
      <c r="E54"/>
      <c r="F54"/>
      <c r="G54"/>
      <c r="H54"/>
      <c r="I54"/>
      <c r="J54"/>
      <c r="K54"/>
      <c r="L54"/>
      <c r="M54"/>
      <c r="N54"/>
    </row>
    <row r="55" spans="3:14" ht="12.75" customHeight="1" x14ac:dyDescent="0.2">
      <c r="C55"/>
      <c r="D55"/>
      <c r="E55"/>
      <c r="F55"/>
      <c r="G55"/>
      <c r="H55"/>
      <c r="I55"/>
      <c r="J55"/>
      <c r="K55"/>
      <c r="L55"/>
      <c r="M55"/>
      <c r="N55"/>
    </row>
    <row r="56" spans="3:14" x14ac:dyDescent="0.2">
      <c r="C56"/>
      <c r="D56"/>
      <c r="E56"/>
      <c r="F56"/>
      <c r="G56"/>
      <c r="H56"/>
      <c r="I56"/>
      <c r="J56"/>
      <c r="K56"/>
      <c r="L56"/>
      <c r="M56"/>
      <c r="N56"/>
    </row>
    <row r="57" spans="3:14" x14ac:dyDescent="0.2">
      <c r="C57"/>
      <c r="D57"/>
      <c r="E57"/>
      <c r="F57"/>
      <c r="G57"/>
      <c r="H57"/>
      <c r="I57"/>
      <c r="J57"/>
      <c r="K57"/>
      <c r="L57"/>
      <c r="M57"/>
      <c r="N57"/>
    </row>
    <row r="58" spans="3:14" x14ac:dyDescent="0.2">
      <c r="C58"/>
      <c r="D58"/>
      <c r="E58"/>
      <c r="F58"/>
      <c r="G58"/>
      <c r="H58"/>
      <c r="I58"/>
      <c r="J58"/>
      <c r="K58"/>
      <c r="L58"/>
      <c r="M58"/>
      <c r="N58"/>
    </row>
    <row r="59" spans="3:14" x14ac:dyDescent="0.2">
      <c r="C59"/>
      <c r="D59"/>
      <c r="E59"/>
      <c r="F59"/>
      <c r="G59"/>
      <c r="H59"/>
      <c r="I59"/>
      <c r="J59"/>
      <c r="K59"/>
      <c r="L59"/>
      <c r="M59"/>
      <c r="N59"/>
    </row>
    <row r="60" spans="3:14" ht="9.75" customHeight="1" x14ac:dyDescent="0.2">
      <c r="C60"/>
      <c r="D60"/>
      <c r="E60"/>
      <c r="F60"/>
      <c r="G60"/>
      <c r="H60"/>
      <c r="I60"/>
      <c r="J60"/>
      <c r="K60"/>
      <c r="L60"/>
      <c r="M60"/>
      <c r="N60"/>
    </row>
    <row r="61" spans="3:14" x14ac:dyDescent="0.2">
      <c r="C61"/>
      <c r="D61"/>
      <c r="E61"/>
      <c r="F61"/>
      <c r="G61"/>
      <c r="H61"/>
      <c r="I61"/>
      <c r="J61"/>
      <c r="K61"/>
      <c r="L61"/>
      <c r="M61"/>
      <c r="N61"/>
    </row>
    <row r="62" spans="3:14" x14ac:dyDescent="0.2">
      <c r="C62"/>
      <c r="D62"/>
      <c r="E62"/>
      <c r="F62"/>
      <c r="G62"/>
      <c r="H62"/>
      <c r="I62"/>
      <c r="J62"/>
      <c r="K62"/>
      <c r="L62"/>
      <c r="M62"/>
      <c r="N62"/>
    </row>
    <row r="63" spans="3:14" x14ac:dyDescent="0.2">
      <c r="C63"/>
      <c r="D63"/>
      <c r="E63"/>
      <c r="F63"/>
      <c r="G63"/>
      <c r="H63"/>
      <c r="I63"/>
      <c r="J63"/>
      <c r="K63"/>
      <c r="L63"/>
      <c r="M63"/>
      <c r="N63"/>
    </row>
    <row r="64" spans="3:14" ht="9" customHeight="1" x14ac:dyDescent="0.2">
      <c r="C64"/>
      <c r="D64"/>
      <c r="E64"/>
      <c r="F64"/>
      <c r="G64"/>
      <c r="H64"/>
      <c r="I64"/>
      <c r="J64"/>
      <c r="K64"/>
      <c r="L64"/>
      <c r="M64"/>
      <c r="N64"/>
    </row>
    <row r="65" spans="3:14" x14ac:dyDescent="0.2">
      <c r="C65"/>
      <c r="D65"/>
      <c r="E65"/>
      <c r="F65"/>
      <c r="G65"/>
      <c r="H65"/>
      <c r="I65"/>
      <c r="J65"/>
      <c r="K65"/>
      <c r="L65"/>
      <c r="M65"/>
      <c r="N65"/>
    </row>
    <row r="66" spans="3:14" x14ac:dyDescent="0.2">
      <c r="C66"/>
      <c r="D66"/>
      <c r="E66"/>
      <c r="F66"/>
      <c r="G66"/>
      <c r="H66"/>
      <c r="I66"/>
      <c r="J66"/>
      <c r="K66"/>
      <c r="L66"/>
      <c r="M66"/>
      <c r="N66"/>
    </row>
    <row r="67" spans="3:14" x14ac:dyDescent="0.2">
      <c r="C67"/>
      <c r="D67"/>
      <c r="E67"/>
      <c r="F67"/>
      <c r="G67"/>
      <c r="H67"/>
      <c r="I67"/>
      <c r="J67"/>
      <c r="K67"/>
      <c r="L67"/>
      <c r="M67"/>
      <c r="N67"/>
    </row>
    <row r="68" spans="3:14" x14ac:dyDescent="0.2">
      <c r="C68"/>
      <c r="D68"/>
      <c r="E68"/>
      <c r="F68"/>
      <c r="G68"/>
      <c r="H68"/>
      <c r="I68"/>
      <c r="J68"/>
      <c r="K68"/>
      <c r="L68"/>
      <c r="M68"/>
      <c r="N68"/>
    </row>
  </sheetData>
  <mergeCells count="35">
    <mergeCell ref="U16:V16"/>
    <mergeCell ref="U23:V23"/>
    <mergeCell ref="U24:V24"/>
    <mergeCell ref="U25:V25"/>
    <mergeCell ref="U26:V26"/>
    <mergeCell ref="U17:V17"/>
    <mergeCell ref="U18:V18"/>
    <mergeCell ref="U19:V19"/>
    <mergeCell ref="U20:V20"/>
    <mergeCell ref="U21:V21"/>
    <mergeCell ref="U22:V22"/>
    <mergeCell ref="S11:V11"/>
    <mergeCell ref="U12:V12"/>
    <mergeCell ref="U13:V13"/>
    <mergeCell ref="U14:V14"/>
    <mergeCell ref="U15:V15"/>
    <mergeCell ref="C39:M39"/>
    <mergeCell ref="Q19:R19"/>
    <mergeCell ref="Q26:R26"/>
    <mergeCell ref="Q25:R25"/>
    <mergeCell ref="Q24:R24"/>
    <mergeCell ref="Q20:R20"/>
    <mergeCell ref="Q21:R21"/>
    <mergeCell ref="Q22:R22"/>
    <mergeCell ref="Q23:R23"/>
    <mergeCell ref="O11:R11"/>
    <mergeCell ref="Q13:R13"/>
    <mergeCell ref="Q17:R17"/>
    <mergeCell ref="D9:R9"/>
    <mergeCell ref="Q18:R18"/>
    <mergeCell ref="I11:J11"/>
    <mergeCell ref="Q12:R12"/>
    <mergeCell ref="Q14:R14"/>
    <mergeCell ref="Q15:R15"/>
    <mergeCell ref="Q16:R16"/>
  </mergeCells>
  <phoneticPr fontId="32" type="noConversion"/>
  <printOptions horizontalCentered="1"/>
  <pageMargins left="0.5" right="0.5" top="0.87" bottom="0.83" header="0.5" footer="0.24"/>
  <pageSetup scale="50" orientation="portrait" horizontalDpi="300" verticalDpi="300" r:id="rId1"/>
  <headerFooter alignWithMargins="0"/>
  <drawing r:id="rId2"/>
  <legacyDrawing r:id="rId3"/>
  <oleObjects>
    <mc:AlternateContent xmlns:mc="http://schemas.openxmlformats.org/markup-compatibility/2006">
      <mc:Choice Requires="x14">
        <oleObject progId="MSPhotoEd.3" shapeId="19457" r:id="rId4">
          <objectPr defaultSize="0" autoPict="0" r:id="rId5">
            <anchor moveWithCells="1" sizeWithCells="1">
              <from>
                <xdr:col>2</xdr:col>
                <xdr:colOff>0</xdr:colOff>
                <xdr:row>0</xdr:row>
                <xdr:rowOff>57150</xdr:rowOff>
              </from>
              <to>
                <xdr:col>2</xdr:col>
                <xdr:colOff>247650</xdr:colOff>
                <xdr:row>0</xdr:row>
                <xdr:rowOff>161925</xdr:rowOff>
              </to>
            </anchor>
          </objectPr>
        </oleObject>
      </mc:Choice>
      <mc:Fallback>
        <oleObject progId="MSPhotoEd.3" shapeId="19457" r:id="rId4"/>
      </mc:Fallback>
    </mc:AlternateContent>
  </oleObjec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X47"/>
  <sheetViews>
    <sheetView view="pageBreakPreview" zoomScale="60" zoomScaleNormal="100" workbookViewId="0">
      <selection activeCell="B7" sqref="B7:J47"/>
    </sheetView>
  </sheetViews>
  <sheetFormatPr defaultRowHeight="12.75" x14ac:dyDescent="0.2"/>
  <cols>
    <col min="3" max="3" width="30" customWidth="1"/>
    <col min="4" max="5" width="14" customWidth="1"/>
    <col min="6" max="6" width="13" customWidth="1"/>
    <col min="7" max="7" width="15.28515625" customWidth="1"/>
    <col min="8" max="8" width="10.42578125" customWidth="1"/>
    <col min="9" max="9" width="13" customWidth="1"/>
    <col min="10" max="10" width="14.7109375" customWidth="1"/>
  </cols>
  <sheetData>
    <row r="2" spans="2:24" ht="15" x14ac:dyDescent="0.25">
      <c r="I2" s="4"/>
      <c r="J2" s="73" t="s">
        <v>232</v>
      </c>
      <c r="N2" s="101" t="s">
        <v>232</v>
      </c>
      <c r="O2" s="101"/>
      <c r="P2" s="101"/>
      <c r="Q2" s="101"/>
      <c r="R2" s="101"/>
      <c r="S2" s="101"/>
      <c r="T2" s="101"/>
      <c r="U2" s="101"/>
      <c r="V2" s="101"/>
      <c r="W2" s="101"/>
      <c r="X2" s="101"/>
    </row>
    <row r="3" spans="2:24" x14ac:dyDescent="0.2">
      <c r="B3" s="59"/>
      <c r="C3" s="59"/>
      <c r="D3" s="59"/>
      <c r="E3" s="59"/>
      <c r="F3" s="59"/>
      <c r="G3" s="59"/>
      <c r="H3" s="59"/>
      <c r="I3" s="59"/>
      <c r="J3" s="59"/>
      <c r="K3" s="59"/>
      <c r="L3" s="59"/>
      <c r="M3" s="59"/>
      <c r="N3" s="59"/>
      <c r="O3" s="59"/>
      <c r="P3" s="59"/>
      <c r="Q3" s="59"/>
      <c r="R3" s="59"/>
      <c r="S3" s="59"/>
      <c r="T3" s="59"/>
      <c r="U3" s="59"/>
      <c r="V3" s="59"/>
      <c r="W3" s="59"/>
      <c r="X3" s="59"/>
    </row>
    <row r="7" spans="2:24" ht="23.25" x14ac:dyDescent="0.35">
      <c r="B7" s="306" t="s">
        <v>321</v>
      </c>
      <c r="C7" s="768" t="s">
        <v>308</v>
      </c>
      <c r="D7" s="768"/>
      <c r="E7" s="768"/>
      <c r="F7" s="768"/>
      <c r="G7" s="768"/>
      <c r="H7" s="768"/>
      <c r="I7" s="768"/>
      <c r="J7" s="768"/>
    </row>
    <row r="8" spans="2:24" ht="15" x14ac:dyDescent="0.25">
      <c r="B8" s="178"/>
      <c r="C8" s="346"/>
      <c r="D8" s="328"/>
      <c r="E8" s="328"/>
      <c r="F8" s="328"/>
      <c r="G8" s="328"/>
      <c r="H8" s="328"/>
      <c r="I8" s="328"/>
      <c r="J8" s="328"/>
      <c r="K8" s="19"/>
    </row>
    <row r="9" spans="2:24" ht="15" x14ac:dyDescent="0.25">
      <c r="B9" s="178"/>
      <c r="C9" s="347" t="s">
        <v>292</v>
      </c>
      <c r="D9" s="329" t="s">
        <v>1</v>
      </c>
      <c r="E9" s="329" t="s">
        <v>1</v>
      </c>
      <c r="F9" s="329"/>
      <c r="G9" s="329"/>
      <c r="H9" s="329"/>
      <c r="I9" s="329"/>
      <c r="J9" s="178"/>
      <c r="K9" s="19"/>
    </row>
    <row r="10" spans="2:24" ht="15" x14ac:dyDescent="0.25">
      <c r="B10" s="178"/>
      <c r="C10" s="337" t="s">
        <v>293</v>
      </c>
      <c r="D10" s="329" t="s">
        <v>177</v>
      </c>
      <c r="E10" s="329" t="s">
        <v>178</v>
      </c>
      <c r="F10" s="329" t="s">
        <v>179</v>
      </c>
      <c r="G10" s="329" t="s">
        <v>180</v>
      </c>
      <c r="H10" s="329" t="s">
        <v>181</v>
      </c>
      <c r="I10" s="329" t="s">
        <v>19</v>
      </c>
      <c r="J10" s="337" t="s">
        <v>294</v>
      </c>
      <c r="K10" s="19"/>
    </row>
    <row r="11" spans="2:24" ht="15" x14ac:dyDescent="0.25">
      <c r="B11" s="178"/>
      <c r="C11" s="178" t="s">
        <v>295</v>
      </c>
      <c r="D11" s="331">
        <f>5342+546</f>
        <v>5888</v>
      </c>
      <c r="E11" s="331">
        <f>1098+14</f>
        <v>1112</v>
      </c>
      <c r="F11" s="331">
        <f>222+425</f>
        <v>647</v>
      </c>
      <c r="G11" s="331">
        <f>117+81</f>
        <v>198</v>
      </c>
      <c r="H11" s="331">
        <f>98+249</f>
        <v>347</v>
      </c>
      <c r="I11" s="331">
        <f>465</f>
        <v>465</v>
      </c>
      <c r="J11" s="338">
        <f>SUM(D11:I11)</f>
        <v>8657</v>
      </c>
      <c r="K11" s="19"/>
    </row>
    <row r="12" spans="2:24" ht="15" x14ac:dyDescent="0.25">
      <c r="B12" s="178"/>
      <c r="C12" s="178" t="s">
        <v>296</v>
      </c>
      <c r="D12" s="331">
        <f>5044+4652</f>
        <v>9696</v>
      </c>
      <c r="E12" s="331">
        <f>671+62</f>
        <v>733</v>
      </c>
      <c r="F12" s="331">
        <f>170+303</f>
        <v>473</v>
      </c>
      <c r="G12" s="331">
        <f>160+109</f>
        <v>269</v>
      </c>
      <c r="H12" s="331">
        <f>96+183</f>
        <v>279</v>
      </c>
      <c r="I12" s="331">
        <f>295+258</f>
        <v>553</v>
      </c>
      <c r="J12" s="338">
        <f t="shared" ref="J12:J18" si="0">SUM(D12:I12)</f>
        <v>12003</v>
      </c>
      <c r="K12" s="19"/>
    </row>
    <row r="13" spans="2:24" ht="15" x14ac:dyDescent="0.25">
      <c r="B13" s="178"/>
      <c r="C13" s="178" t="s">
        <v>297</v>
      </c>
      <c r="D13" s="331">
        <f>5459+6067</f>
        <v>11526</v>
      </c>
      <c r="E13" s="331">
        <f>623+702</f>
        <v>1325</v>
      </c>
      <c r="F13" s="331">
        <f>152+269</f>
        <v>421</v>
      </c>
      <c r="G13" s="331">
        <f>171+103</f>
        <v>274</v>
      </c>
      <c r="H13" s="331">
        <f>64+131</f>
        <v>195</v>
      </c>
      <c r="I13" s="331">
        <f>172+118</f>
        <v>290</v>
      </c>
      <c r="J13" s="338">
        <f t="shared" si="0"/>
        <v>14031</v>
      </c>
      <c r="K13" s="19"/>
    </row>
    <row r="14" spans="2:24" ht="15" x14ac:dyDescent="0.25">
      <c r="B14" s="178"/>
      <c r="C14" s="178" t="s">
        <v>298</v>
      </c>
      <c r="D14" s="331">
        <f>6118+5916</f>
        <v>12034</v>
      </c>
      <c r="E14" s="331">
        <f>498+450</f>
        <v>948</v>
      </c>
      <c r="F14" s="331">
        <v>0</v>
      </c>
      <c r="G14" s="331">
        <v>0</v>
      </c>
      <c r="H14" s="331">
        <v>0</v>
      </c>
      <c r="I14" s="331">
        <f>64+102</f>
        <v>166</v>
      </c>
      <c r="J14" s="338">
        <f t="shared" si="0"/>
        <v>13148</v>
      </c>
      <c r="K14" s="19"/>
    </row>
    <row r="15" spans="2:24" ht="15" x14ac:dyDescent="0.25">
      <c r="B15" s="178"/>
      <c r="C15" s="178" t="s">
        <v>299</v>
      </c>
      <c r="D15" s="331">
        <f>4550+5497</f>
        <v>10047</v>
      </c>
      <c r="E15" s="331">
        <f>573+808</f>
        <v>1381</v>
      </c>
      <c r="F15" s="331">
        <f>198+389</f>
        <v>587</v>
      </c>
      <c r="G15" s="331">
        <f>395+201</f>
        <v>596</v>
      </c>
      <c r="H15" s="331">
        <f>125+252</f>
        <v>377</v>
      </c>
      <c r="I15" s="331">
        <f>175+184</f>
        <v>359</v>
      </c>
      <c r="J15" s="338">
        <f t="shared" si="0"/>
        <v>13347</v>
      </c>
      <c r="K15" s="19"/>
    </row>
    <row r="16" spans="2:24" ht="15" x14ac:dyDescent="0.25">
      <c r="B16" s="178"/>
      <c r="C16" s="178" t="s">
        <v>300</v>
      </c>
      <c r="D16" s="331">
        <f>1192+6081</f>
        <v>7273</v>
      </c>
      <c r="E16" s="331">
        <f>5241+3856</f>
        <v>9097</v>
      </c>
      <c r="F16" s="331">
        <f>257+411</f>
        <v>668</v>
      </c>
      <c r="G16" s="331">
        <f>81+52</f>
        <v>133</v>
      </c>
      <c r="H16" s="331">
        <f>155+182</f>
        <v>337</v>
      </c>
      <c r="I16" s="331">
        <f>258+210</f>
        <v>468</v>
      </c>
      <c r="J16" s="338">
        <f t="shared" si="0"/>
        <v>17976</v>
      </c>
      <c r="K16" s="19"/>
    </row>
    <row r="17" spans="2:11" ht="15" x14ac:dyDescent="0.25">
      <c r="B17" s="178"/>
      <c r="C17" s="178" t="s">
        <v>301</v>
      </c>
      <c r="D17" s="331">
        <f>5460+4598</f>
        <v>10058</v>
      </c>
      <c r="E17" s="331">
        <f>2027+1597</f>
        <v>3624</v>
      </c>
      <c r="F17" s="331">
        <f>239+351</f>
        <v>590</v>
      </c>
      <c r="G17" s="331">
        <f>33+25</f>
        <v>58</v>
      </c>
      <c r="H17" s="331">
        <f>100+141</f>
        <v>241</v>
      </c>
      <c r="I17" s="331">
        <f>156+103</f>
        <v>259</v>
      </c>
      <c r="J17" s="338">
        <f t="shared" si="0"/>
        <v>14830</v>
      </c>
      <c r="K17" s="19"/>
    </row>
    <row r="18" spans="2:11" ht="15" x14ac:dyDescent="0.25">
      <c r="B18" s="178"/>
      <c r="C18" s="178" t="s">
        <v>302</v>
      </c>
      <c r="D18" s="331">
        <f>3095+3987</f>
        <v>7082</v>
      </c>
      <c r="E18" s="331">
        <f>5+956</f>
        <v>961</v>
      </c>
      <c r="F18" s="331">
        <f>190+33</f>
        <v>223</v>
      </c>
      <c r="G18" s="331">
        <f>5+8</f>
        <v>13</v>
      </c>
      <c r="H18" s="331">
        <f>112+6</f>
        <v>118</v>
      </c>
      <c r="I18" s="331">
        <f>54+34</f>
        <v>88</v>
      </c>
      <c r="J18" s="338">
        <f t="shared" si="0"/>
        <v>8485</v>
      </c>
      <c r="K18" s="19"/>
    </row>
    <row r="19" spans="2:11" ht="15" x14ac:dyDescent="0.25">
      <c r="B19" s="178"/>
      <c r="C19" s="178"/>
      <c r="D19" s="331"/>
      <c r="E19" s="331"/>
      <c r="F19" s="331"/>
      <c r="G19" s="331"/>
      <c r="H19" s="331"/>
      <c r="I19" s="331"/>
      <c r="J19" s="337"/>
      <c r="K19" s="19"/>
    </row>
    <row r="20" spans="2:11" ht="15" x14ac:dyDescent="0.25">
      <c r="B20" s="178"/>
      <c r="C20" s="337" t="s">
        <v>303</v>
      </c>
      <c r="D20" s="331"/>
      <c r="E20" s="331"/>
      <c r="F20" s="331"/>
      <c r="G20" s="331"/>
      <c r="H20" s="331"/>
      <c r="I20" s="331"/>
      <c r="J20" s="337"/>
      <c r="K20" s="19"/>
    </row>
    <row r="21" spans="2:11" ht="15" x14ac:dyDescent="0.25">
      <c r="B21" s="178"/>
      <c r="C21" s="178" t="s">
        <v>295</v>
      </c>
      <c r="D21" s="331">
        <f>1066+370</f>
        <v>1436</v>
      </c>
      <c r="E21" s="331">
        <f>255+238</f>
        <v>493</v>
      </c>
      <c r="F21" s="331">
        <f>81+81</f>
        <v>162</v>
      </c>
      <c r="G21" s="331">
        <v>3</v>
      </c>
      <c r="H21" s="331">
        <f>22+45</f>
        <v>67</v>
      </c>
      <c r="I21" s="331">
        <f>136+97</f>
        <v>233</v>
      </c>
      <c r="J21" s="338">
        <f>SUM(D21:I21)</f>
        <v>2394</v>
      </c>
      <c r="K21" s="19"/>
    </row>
    <row r="22" spans="2:11" ht="15" x14ac:dyDescent="0.25">
      <c r="B22" s="178"/>
      <c r="C22" s="178" t="s">
        <v>296</v>
      </c>
      <c r="D22" s="331">
        <f>1067+361</f>
        <v>1428</v>
      </c>
      <c r="E22" s="331">
        <f>246+180</f>
        <v>426</v>
      </c>
      <c r="F22" s="331">
        <f>103+58</f>
        <v>161</v>
      </c>
      <c r="G22" s="331">
        <f>20+14</f>
        <v>34</v>
      </c>
      <c r="H22" s="331">
        <f>23+26</f>
        <v>49</v>
      </c>
      <c r="I22" s="331">
        <f>110+73</f>
        <v>183</v>
      </c>
      <c r="J22" s="338">
        <f>SUM(D22:I22)</f>
        <v>2281</v>
      </c>
      <c r="K22" s="19"/>
    </row>
    <row r="23" spans="2:11" ht="15" x14ac:dyDescent="0.25">
      <c r="B23" s="178"/>
      <c r="C23" s="178" t="s">
        <v>297</v>
      </c>
      <c r="D23" s="331">
        <f>1015+300</f>
        <v>1315</v>
      </c>
      <c r="E23" s="331">
        <f>147+165</f>
        <v>312</v>
      </c>
      <c r="F23" s="331">
        <f>87+48</f>
        <v>135</v>
      </c>
      <c r="G23" s="331">
        <f>17+10</f>
        <v>27</v>
      </c>
      <c r="H23" s="331">
        <f>18+23</f>
        <v>41</v>
      </c>
      <c r="I23" s="331">
        <f>52+34</f>
        <v>86</v>
      </c>
      <c r="J23" s="338">
        <f>SUM(D23:I23)</f>
        <v>1916</v>
      </c>
      <c r="K23" s="19"/>
    </row>
    <row r="24" spans="2:11" ht="15" x14ac:dyDescent="0.25">
      <c r="B24" s="178"/>
      <c r="C24" s="178" t="s">
        <v>298</v>
      </c>
      <c r="D24" s="331">
        <f>1066+314</f>
        <v>1380</v>
      </c>
      <c r="E24" s="331">
        <f>138+148</f>
        <v>286</v>
      </c>
      <c r="F24" s="331">
        <f>76+45</f>
        <v>121</v>
      </c>
      <c r="G24" s="331">
        <f>12+3</f>
        <v>15</v>
      </c>
      <c r="H24" s="331">
        <f>16+10</f>
        <v>26</v>
      </c>
      <c r="I24" s="331" t="s">
        <v>304</v>
      </c>
      <c r="J24" s="338">
        <f>SUM(D24:I24)</f>
        <v>1828</v>
      </c>
      <c r="K24" s="19"/>
    </row>
    <row r="25" spans="2:11" ht="15" x14ac:dyDescent="0.25">
      <c r="B25" s="178"/>
      <c r="C25" s="178"/>
      <c r="D25" s="331"/>
      <c r="E25" s="331"/>
      <c r="F25" s="331"/>
      <c r="G25" s="331"/>
      <c r="H25" s="331"/>
      <c r="I25" s="331"/>
      <c r="J25" s="337"/>
      <c r="K25" s="19"/>
    </row>
    <row r="26" spans="2:11" ht="15" x14ac:dyDescent="0.25">
      <c r="B26" s="178"/>
      <c r="C26" s="178"/>
      <c r="D26" s="331"/>
      <c r="E26" s="331"/>
      <c r="F26" s="331"/>
      <c r="G26" s="331"/>
      <c r="H26" s="331"/>
      <c r="I26" s="331"/>
      <c r="J26" s="337"/>
      <c r="K26" s="19"/>
    </row>
    <row r="27" spans="2:11" ht="15" x14ac:dyDescent="0.25">
      <c r="B27" s="178"/>
      <c r="C27" s="347" t="s">
        <v>305</v>
      </c>
      <c r="D27" s="331">
        <f t="shared" ref="D27:I27" si="1">SUM(D11:D25)</f>
        <v>79163</v>
      </c>
      <c r="E27" s="331">
        <f t="shared" si="1"/>
        <v>20698</v>
      </c>
      <c r="F27" s="331">
        <f t="shared" si="1"/>
        <v>4188</v>
      </c>
      <c r="G27" s="331">
        <f t="shared" si="1"/>
        <v>1620</v>
      </c>
      <c r="H27" s="331">
        <f t="shared" si="1"/>
        <v>2077</v>
      </c>
      <c r="I27" s="331">
        <f t="shared" si="1"/>
        <v>3150</v>
      </c>
      <c r="J27" s="338">
        <f>SUM(D27:I27)</f>
        <v>110896</v>
      </c>
      <c r="K27" s="19"/>
    </row>
    <row r="28" spans="2:11" ht="15" x14ac:dyDescent="0.25">
      <c r="B28" s="178"/>
      <c r="C28" s="347" t="s">
        <v>306</v>
      </c>
      <c r="D28" s="331">
        <f t="shared" ref="D28:J28" si="2">D27/50</f>
        <v>1583.26</v>
      </c>
      <c r="E28" s="331">
        <f t="shared" si="2"/>
        <v>413.96</v>
      </c>
      <c r="F28" s="331">
        <f t="shared" si="2"/>
        <v>83.76</v>
      </c>
      <c r="G28" s="331">
        <f t="shared" si="2"/>
        <v>32.4</v>
      </c>
      <c r="H28" s="331">
        <f t="shared" si="2"/>
        <v>41.54</v>
      </c>
      <c r="I28" s="331">
        <f t="shared" si="2"/>
        <v>63</v>
      </c>
      <c r="J28" s="338">
        <f t="shared" si="2"/>
        <v>2217.92</v>
      </c>
      <c r="K28" s="19"/>
    </row>
    <row r="29" spans="2:11" ht="15" x14ac:dyDescent="0.25">
      <c r="B29" s="178"/>
      <c r="C29" s="348" t="s">
        <v>307</v>
      </c>
      <c r="D29" s="333">
        <f>SUM(D27:I27)</f>
        <v>110896</v>
      </c>
      <c r="E29" s="334"/>
      <c r="F29" s="334"/>
      <c r="G29" s="334"/>
      <c r="H29" s="334"/>
      <c r="I29" s="334"/>
      <c r="J29" s="175"/>
      <c r="K29" s="19"/>
    </row>
    <row r="30" spans="2:11" x14ac:dyDescent="0.2">
      <c r="B30" s="174"/>
      <c r="C30" s="174"/>
      <c r="D30" s="174"/>
      <c r="E30" s="174"/>
      <c r="F30" s="174"/>
      <c r="G30" s="174"/>
      <c r="H30" s="174"/>
      <c r="I30" s="174"/>
      <c r="J30" s="174"/>
    </row>
    <row r="31" spans="2:11" x14ac:dyDescent="0.2">
      <c r="B31" s="174"/>
      <c r="C31" s="174"/>
      <c r="D31" s="174"/>
      <c r="E31" s="174"/>
      <c r="F31" s="174"/>
      <c r="G31" s="174"/>
      <c r="H31" s="174"/>
      <c r="I31" s="174"/>
      <c r="J31" s="174"/>
    </row>
    <row r="32" spans="2:11" x14ac:dyDescent="0.2">
      <c r="B32" s="174"/>
      <c r="C32" s="174"/>
      <c r="D32" s="174"/>
      <c r="E32" s="174"/>
      <c r="F32" s="174"/>
      <c r="G32" s="174"/>
      <c r="H32" s="174"/>
      <c r="I32" s="174"/>
      <c r="J32" s="174"/>
    </row>
    <row r="33" spans="2:10" x14ac:dyDescent="0.2">
      <c r="B33" s="174"/>
      <c r="C33" s="174"/>
      <c r="D33" s="174"/>
      <c r="E33" s="174"/>
      <c r="F33" s="174"/>
      <c r="G33" s="174"/>
      <c r="H33" s="174"/>
      <c r="I33" s="174"/>
      <c r="J33" s="174"/>
    </row>
    <row r="34" spans="2:10" x14ac:dyDescent="0.2">
      <c r="B34" s="178"/>
      <c r="C34" s="174"/>
      <c r="D34" s="174"/>
      <c r="E34" s="174"/>
      <c r="F34" s="174"/>
      <c r="G34" s="174"/>
      <c r="H34" s="174"/>
      <c r="I34" s="174"/>
      <c r="J34" s="174"/>
    </row>
    <row r="35" spans="2:10" ht="23.25" x14ac:dyDescent="0.35">
      <c r="B35" s="306" t="s">
        <v>322</v>
      </c>
      <c r="C35" s="773" t="s">
        <v>323</v>
      </c>
      <c r="D35" s="773"/>
      <c r="E35" s="773"/>
      <c r="F35" s="773"/>
      <c r="G35" s="773"/>
      <c r="H35" s="350"/>
      <c r="I35" s="350"/>
      <c r="J35" s="350"/>
    </row>
    <row r="36" spans="2:10" ht="15" x14ac:dyDescent="0.25">
      <c r="B36" s="178"/>
      <c r="C36" s="769" t="s">
        <v>280</v>
      </c>
      <c r="D36" s="769"/>
      <c r="E36" s="770"/>
      <c r="F36" s="771" t="s">
        <v>283</v>
      </c>
      <c r="G36" s="769"/>
      <c r="H36" s="178"/>
      <c r="I36" s="174"/>
      <c r="J36" s="174"/>
    </row>
    <row r="37" spans="2:10" ht="15" x14ac:dyDescent="0.25">
      <c r="B37" s="178"/>
      <c r="C37" s="335"/>
      <c r="D37" s="772">
        <v>2012</v>
      </c>
      <c r="E37" s="772"/>
      <c r="F37" s="327"/>
      <c r="G37" s="340"/>
      <c r="H37" s="178"/>
      <c r="I37" s="174"/>
      <c r="J37" s="174"/>
    </row>
    <row r="38" spans="2:10" ht="15" x14ac:dyDescent="0.25">
      <c r="B38" s="178"/>
      <c r="C38" s="337" t="s">
        <v>281</v>
      </c>
      <c r="D38" s="338" t="s">
        <v>94</v>
      </c>
      <c r="E38" s="338" t="s">
        <v>282</v>
      </c>
      <c r="F38" s="330" t="s">
        <v>284</v>
      </c>
      <c r="G38" s="331">
        <v>7101</v>
      </c>
      <c r="H38" s="178"/>
      <c r="I38" s="174"/>
      <c r="J38" s="174"/>
    </row>
    <row r="39" spans="2:10" x14ac:dyDescent="0.2">
      <c r="B39" s="178"/>
      <c r="C39" s="346" t="s">
        <v>177</v>
      </c>
      <c r="D39" s="340">
        <v>645</v>
      </c>
      <c r="E39" s="336">
        <v>5191</v>
      </c>
      <c r="F39" s="330" t="s">
        <v>285</v>
      </c>
      <c r="G39" s="331">
        <v>123</v>
      </c>
      <c r="H39" s="178"/>
      <c r="I39" s="174"/>
      <c r="J39" s="174"/>
    </row>
    <row r="40" spans="2:10" x14ac:dyDescent="0.2">
      <c r="B40" s="178"/>
      <c r="C40" s="178" t="s">
        <v>178</v>
      </c>
      <c r="D40" s="331">
        <v>412</v>
      </c>
      <c r="E40" s="339">
        <v>982</v>
      </c>
      <c r="F40" s="330" t="s">
        <v>286</v>
      </c>
      <c r="G40" s="331">
        <v>6880</v>
      </c>
      <c r="H40" s="178"/>
      <c r="I40" s="174"/>
      <c r="J40" s="174"/>
    </row>
    <row r="41" spans="2:10" x14ac:dyDescent="0.2">
      <c r="B41" s="178"/>
      <c r="C41" s="178" t="s">
        <v>179</v>
      </c>
      <c r="D41" s="331">
        <v>150</v>
      </c>
      <c r="E41" s="339">
        <v>276</v>
      </c>
      <c r="F41" s="330" t="s">
        <v>287</v>
      </c>
      <c r="G41" s="331">
        <v>53</v>
      </c>
      <c r="H41" s="178"/>
      <c r="I41" s="174"/>
      <c r="J41" s="174"/>
    </row>
    <row r="42" spans="2:10" x14ac:dyDescent="0.2">
      <c r="B42" s="178"/>
      <c r="C42" s="178" t="s">
        <v>180</v>
      </c>
      <c r="D42" s="331">
        <v>22</v>
      </c>
      <c r="E42" s="339">
        <v>95</v>
      </c>
      <c r="F42" s="330" t="s">
        <v>288</v>
      </c>
      <c r="G42" s="331">
        <v>16</v>
      </c>
      <c r="H42" s="178"/>
      <c r="I42" s="174"/>
      <c r="J42" s="174"/>
    </row>
    <row r="43" spans="2:10" x14ac:dyDescent="0.2">
      <c r="B43" s="178"/>
      <c r="C43" s="178" t="s">
        <v>181</v>
      </c>
      <c r="D43" s="331">
        <v>74</v>
      </c>
      <c r="E43" s="339">
        <v>117</v>
      </c>
      <c r="F43" s="330" t="s">
        <v>289</v>
      </c>
      <c r="G43" s="331">
        <v>40</v>
      </c>
      <c r="H43" s="178"/>
      <c r="I43" s="174"/>
      <c r="J43" s="174"/>
    </row>
    <row r="44" spans="2:10" x14ac:dyDescent="0.2">
      <c r="B44" s="178"/>
      <c r="C44" s="178" t="s">
        <v>19</v>
      </c>
      <c r="D44" s="331">
        <v>242</v>
      </c>
      <c r="E44" s="339">
        <v>186</v>
      </c>
      <c r="F44" s="330" t="s">
        <v>290</v>
      </c>
      <c r="G44" s="331">
        <v>35</v>
      </c>
      <c r="H44" s="178"/>
      <c r="I44" s="174"/>
      <c r="J44" s="174"/>
    </row>
    <row r="45" spans="2:10" ht="15" x14ac:dyDescent="0.25">
      <c r="B45" s="178"/>
      <c r="C45" s="348" t="s">
        <v>25</v>
      </c>
      <c r="D45" s="333">
        <f>SUM(D39:D44)</f>
        <v>1545</v>
      </c>
      <c r="E45" s="341">
        <f>SUM(E39:E44)</f>
        <v>6847</v>
      </c>
      <c r="F45" s="332" t="s">
        <v>291</v>
      </c>
      <c r="G45" s="333">
        <f>SUM(G38:G44)</f>
        <v>14248</v>
      </c>
      <c r="H45" s="178"/>
      <c r="I45" s="174"/>
      <c r="J45" s="174"/>
    </row>
    <row r="46" spans="2:10" x14ac:dyDescent="0.2">
      <c r="B46" s="174"/>
      <c r="C46" s="174"/>
      <c r="D46" s="174"/>
      <c r="E46" s="174"/>
      <c r="F46" s="174"/>
      <c r="G46" s="174"/>
      <c r="H46" s="174"/>
      <c r="I46" s="174"/>
      <c r="J46" s="174"/>
    </row>
    <row r="47" spans="2:10" x14ac:dyDescent="0.2">
      <c r="B47" s="180" t="s">
        <v>317</v>
      </c>
      <c r="C47" s="174"/>
      <c r="D47" s="174"/>
      <c r="E47" s="174"/>
      <c r="F47" s="174"/>
      <c r="G47" s="174"/>
      <c r="H47" s="174"/>
      <c r="I47" s="174"/>
      <c r="J47" s="174"/>
    </row>
  </sheetData>
  <mergeCells count="5">
    <mergeCell ref="C7:J7"/>
    <mergeCell ref="C36:E36"/>
    <mergeCell ref="F36:G36"/>
    <mergeCell ref="D37:E37"/>
    <mergeCell ref="C35:G35"/>
  </mergeCells>
  <pageMargins left="0.7" right="0.7" top="0.75" bottom="0.75" header="0.3" footer="0.3"/>
  <pageSetup paperSize="9" scale="50" orientation="portrait" r:id="rId1"/>
  <colBreaks count="1" manualBreakCount="1">
    <brk id="11" max="51" man="1"/>
  </colBreaks>
  <drawing r:id="rId2"/>
  <legacyDrawing r:id="rId3"/>
  <oleObjects>
    <mc:AlternateContent xmlns:mc="http://schemas.openxmlformats.org/markup-compatibility/2006">
      <mc:Choice Requires="x14">
        <oleObject progId="MSPhotoEd.3" shapeId="38914" r:id="rId4">
          <objectPr defaultSize="0" autoPict="0" r:id="rId5">
            <anchor moveWithCells="1" sizeWithCells="1">
              <from>
                <xdr:col>1</xdr:col>
                <xdr:colOff>9525</xdr:colOff>
                <xdr:row>0</xdr:row>
                <xdr:rowOff>9525</xdr:rowOff>
              </from>
              <to>
                <xdr:col>2</xdr:col>
                <xdr:colOff>28575</xdr:colOff>
                <xdr:row>0</xdr:row>
                <xdr:rowOff>161925</xdr:rowOff>
              </to>
            </anchor>
          </objectPr>
        </oleObject>
      </mc:Choice>
      <mc:Fallback>
        <oleObject progId="MSPhotoEd.3" shapeId="38914" r:id="rId4"/>
      </mc:Fallback>
    </mc:AlternateContent>
  </oleObjec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2:T66"/>
  <sheetViews>
    <sheetView workbookViewId="0">
      <selection activeCell="P5" sqref="P5"/>
    </sheetView>
  </sheetViews>
  <sheetFormatPr defaultColWidth="9.140625" defaultRowHeight="12.75" x14ac:dyDescent="0.2"/>
  <cols>
    <col min="1" max="2" width="9.140625" style="659"/>
    <col min="3" max="3" width="7.42578125" style="659" customWidth="1"/>
    <col min="4" max="4" width="19.42578125" style="659" customWidth="1"/>
    <col min="5" max="5" width="10.42578125" style="659" customWidth="1"/>
    <col min="6" max="6" width="12.85546875" style="659" customWidth="1"/>
    <col min="7" max="7" width="9.140625" style="659"/>
    <col min="8" max="8" width="6.140625" style="659" customWidth="1"/>
    <col min="9" max="9" width="11.28515625" style="659" customWidth="1"/>
    <col min="10" max="10" width="12.5703125" style="659" customWidth="1"/>
    <col min="11" max="11" width="9.140625" style="659"/>
    <col min="12" max="12" width="7.140625" style="659" customWidth="1"/>
    <col min="13" max="13" width="10.7109375" style="659" customWidth="1"/>
    <col min="14" max="14" width="11.28515625" style="659" customWidth="1"/>
    <col min="15" max="17" width="9.140625" style="659"/>
    <col min="18" max="18" width="11.140625" style="659" customWidth="1"/>
    <col min="19" max="16384" width="9.140625" style="659"/>
  </cols>
  <sheetData>
    <row r="2" spans="3:20" x14ac:dyDescent="0.2">
      <c r="C2" s="29"/>
      <c r="D2" s="29"/>
      <c r="E2" s="29"/>
      <c r="F2" s="29"/>
      <c r="G2" s="29"/>
      <c r="H2" s="29"/>
      <c r="I2" s="29"/>
      <c r="J2" s="29"/>
      <c r="K2" s="29"/>
      <c r="L2" s="29"/>
      <c r="M2" s="29"/>
      <c r="N2" s="619" t="s">
        <v>374</v>
      </c>
      <c r="O2" s="29"/>
      <c r="P2" s="29"/>
      <c r="Q2" s="29"/>
      <c r="R2" s="29"/>
      <c r="S2" s="29"/>
      <c r="T2" s="29"/>
    </row>
    <row r="4" spans="3:20" x14ac:dyDescent="0.2">
      <c r="C4" s="29"/>
      <c r="D4" s="29"/>
      <c r="E4" s="29"/>
      <c r="F4" s="29"/>
      <c r="G4" s="29"/>
      <c r="H4" s="29"/>
      <c r="I4" s="29"/>
      <c r="J4" s="29"/>
      <c r="K4" s="29"/>
      <c r="L4" s="29"/>
      <c r="M4" s="29"/>
      <c r="N4" s="29"/>
      <c r="O4" s="29"/>
      <c r="P4" s="29"/>
      <c r="Q4" s="29"/>
      <c r="R4" s="29"/>
      <c r="S4" s="29"/>
      <c r="T4" s="29"/>
    </row>
    <row r="6" spans="3:20" x14ac:dyDescent="0.2">
      <c r="C6" s="29"/>
      <c r="D6" s="660"/>
      <c r="E6" s="29"/>
      <c r="F6" s="29"/>
      <c r="G6" s="29"/>
      <c r="H6" s="29"/>
      <c r="I6" s="29"/>
      <c r="J6" s="29"/>
      <c r="K6" s="29"/>
      <c r="L6" s="29"/>
      <c r="M6" s="29"/>
      <c r="N6" s="29"/>
      <c r="O6" s="29"/>
      <c r="P6" s="29"/>
      <c r="Q6" s="29"/>
      <c r="R6" s="29"/>
      <c r="S6" s="29"/>
      <c r="T6" s="29"/>
    </row>
    <row r="7" spans="3:20" x14ac:dyDescent="0.2">
      <c r="C7" s="29"/>
      <c r="D7" s="660"/>
      <c r="E7" s="29"/>
      <c r="F7" s="29"/>
      <c r="G7" s="29"/>
      <c r="H7" s="29"/>
      <c r="I7" s="29"/>
      <c r="J7" s="29"/>
      <c r="K7" s="29"/>
      <c r="L7" s="29"/>
      <c r="M7" s="29"/>
      <c r="N7" s="29"/>
      <c r="O7" s="29"/>
      <c r="P7" s="29"/>
      <c r="Q7" s="29"/>
      <c r="R7" s="29"/>
      <c r="S7" s="29"/>
      <c r="T7" s="29"/>
    </row>
    <row r="8" spans="3:20" ht="15.75" x14ac:dyDescent="0.25">
      <c r="C8" s="661" t="s">
        <v>320</v>
      </c>
      <c r="D8" s="779" t="s">
        <v>392</v>
      </c>
      <c r="E8" s="779"/>
      <c r="F8" s="779"/>
      <c r="G8" s="779"/>
      <c r="H8" s="779"/>
      <c r="I8" s="779"/>
      <c r="J8" s="779"/>
      <c r="K8" s="779"/>
      <c r="L8" s="779"/>
      <c r="M8" s="779"/>
      <c r="N8" s="779"/>
      <c r="O8" s="779"/>
      <c r="P8" s="779"/>
      <c r="Q8" s="29"/>
      <c r="R8" s="29"/>
      <c r="S8" s="29"/>
      <c r="T8" s="29"/>
    </row>
    <row r="9" spans="3:20" x14ac:dyDescent="0.2">
      <c r="C9" s="29"/>
      <c r="D9" s="663"/>
      <c r="E9" s="29"/>
      <c r="F9" s="29"/>
      <c r="G9" s="29"/>
      <c r="H9" s="29"/>
      <c r="I9" s="29"/>
      <c r="J9" s="29"/>
      <c r="K9" s="29"/>
      <c r="L9" s="29"/>
      <c r="M9" s="29"/>
      <c r="N9" s="29"/>
      <c r="O9" s="29"/>
      <c r="P9" s="29"/>
      <c r="Q9" s="29"/>
      <c r="R9" s="29"/>
      <c r="S9" s="29"/>
      <c r="T9" s="29"/>
    </row>
    <row r="10" spans="3:20" ht="17.25" customHeight="1" x14ac:dyDescent="0.2">
      <c r="C10" s="29"/>
      <c r="D10" s="664"/>
      <c r="E10" s="774">
        <v>2016</v>
      </c>
      <c r="F10" s="774"/>
      <c r="G10" s="774"/>
      <c r="H10" s="774"/>
      <c r="I10" s="774">
        <v>2017</v>
      </c>
      <c r="J10" s="774"/>
      <c r="K10" s="774"/>
      <c r="L10" s="774"/>
      <c r="M10" s="774">
        <v>2018</v>
      </c>
      <c r="N10" s="774"/>
      <c r="O10" s="774"/>
      <c r="P10" s="774"/>
      <c r="Q10" s="774">
        <v>2019</v>
      </c>
      <c r="R10" s="774"/>
      <c r="S10" s="774"/>
      <c r="T10" s="774"/>
    </row>
    <row r="11" spans="3:20" ht="18" customHeight="1" x14ac:dyDescent="0.2">
      <c r="C11" s="29"/>
      <c r="D11" s="665" t="s">
        <v>182</v>
      </c>
      <c r="E11" s="666" t="s">
        <v>183</v>
      </c>
      <c r="F11" s="666" t="s">
        <v>184</v>
      </c>
      <c r="G11" s="778" t="s">
        <v>279</v>
      </c>
      <c r="H11" s="778"/>
      <c r="I11" s="666" t="s">
        <v>183</v>
      </c>
      <c r="J11" s="666" t="s">
        <v>184</v>
      </c>
      <c r="K11" s="778" t="s">
        <v>279</v>
      </c>
      <c r="L11" s="778"/>
      <c r="M11" s="666" t="s">
        <v>183</v>
      </c>
      <c r="N11" s="666" t="s">
        <v>184</v>
      </c>
      <c r="O11" s="667" t="s">
        <v>279</v>
      </c>
      <c r="P11" s="667"/>
      <c r="Q11" s="666" t="s">
        <v>183</v>
      </c>
      <c r="R11" s="666" t="s">
        <v>184</v>
      </c>
      <c r="S11" s="667" t="s">
        <v>279</v>
      </c>
      <c r="T11" s="667"/>
    </row>
    <row r="12" spans="3:20" ht="12" customHeight="1" x14ac:dyDescent="0.2">
      <c r="C12" s="29"/>
      <c r="D12" s="668"/>
      <c r="E12" s="669"/>
      <c r="F12" s="669"/>
      <c r="G12" s="775"/>
      <c r="H12" s="775"/>
      <c r="I12" s="669"/>
      <c r="J12" s="669"/>
      <c r="K12" s="775"/>
      <c r="L12" s="775"/>
      <c r="M12" s="669"/>
      <c r="N12" s="669"/>
      <c r="O12" s="670"/>
      <c r="P12" s="670"/>
      <c r="Q12" s="669"/>
      <c r="R12" s="669"/>
      <c r="S12" s="670"/>
      <c r="T12" s="670"/>
    </row>
    <row r="13" spans="3:20" ht="13.5" customHeight="1" x14ac:dyDescent="0.2">
      <c r="C13" s="29"/>
      <c r="D13" s="660" t="s">
        <v>25</v>
      </c>
      <c r="E13" s="669">
        <v>24966</v>
      </c>
      <c r="F13" s="669">
        <v>32566</v>
      </c>
      <c r="G13" s="669">
        <v>14527</v>
      </c>
      <c r="H13" s="669"/>
      <c r="I13" s="669">
        <v>24305</v>
      </c>
      <c r="J13" s="669">
        <v>24504</v>
      </c>
      <c r="K13" s="669">
        <v>11227</v>
      </c>
      <c r="L13" s="669"/>
      <c r="M13" s="669">
        <v>22728</v>
      </c>
      <c r="N13" s="669">
        <v>28678</v>
      </c>
      <c r="O13" s="671">
        <v>10118</v>
      </c>
      <c r="P13" s="671"/>
      <c r="Q13" s="669">
        <v>22674</v>
      </c>
      <c r="R13" s="669">
        <v>29208</v>
      </c>
      <c r="S13" s="671">
        <v>11995</v>
      </c>
      <c r="T13" s="671"/>
    </row>
    <row r="14" spans="3:20" ht="12" customHeight="1" x14ac:dyDescent="0.2">
      <c r="C14" s="29"/>
      <c r="D14" s="668"/>
      <c r="E14" s="669"/>
      <c r="F14" s="669"/>
      <c r="G14" s="776"/>
      <c r="H14" s="776"/>
      <c r="I14" s="671"/>
      <c r="J14" s="671"/>
      <c r="K14" s="777"/>
      <c r="L14" s="777"/>
      <c r="M14" s="671"/>
      <c r="N14" s="671"/>
      <c r="O14" s="672"/>
      <c r="P14" s="672"/>
      <c r="Q14" s="671"/>
      <c r="R14" s="671"/>
      <c r="S14" s="672"/>
      <c r="T14" s="672"/>
    </row>
    <row r="15" spans="3:20" ht="12" customHeight="1" x14ac:dyDescent="0.2">
      <c r="C15" s="29"/>
      <c r="D15" s="664" t="s">
        <v>177</v>
      </c>
      <c r="E15" s="673">
        <v>13116</v>
      </c>
      <c r="F15" s="171">
        <v>17012</v>
      </c>
      <c r="G15" s="171">
        <v>1707</v>
      </c>
      <c r="H15" s="674"/>
      <c r="I15" s="171">
        <v>13850</v>
      </c>
      <c r="J15" s="171">
        <v>13935</v>
      </c>
      <c r="K15" s="672">
        <v>1585</v>
      </c>
      <c r="L15" s="675"/>
      <c r="M15" s="171">
        <v>14226</v>
      </c>
      <c r="N15" s="171">
        <v>18129</v>
      </c>
      <c r="O15" s="428">
        <v>1894</v>
      </c>
      <c r="P15" s="676"/>
      <c r="Q15" s="171">
        <v>14864</v>
      </c>
      <c r="R15" s="171">
        <v>19677</v>
      </c>
      <c r="S15" s="428">
        <v>3200</v>
      </c>
      <c r="T15" s="676"/>
    </row>
    <row r="16" spans="3:20" ht="13.5" customHeight="1" x14ac:dyDescent="0.2">
      <c r="C16" s="29"/>
      <c r="D16" s="664"/>
      <c r="E16" s="171"/>
      <c r="F16" s="171"/>
      <c r="G16" s="776"/>
      <c r="H16" s="776"/>
      <c r="I16" s="672"/>
      <c r="J16" s="672"/>
      <c r="K16" s="780"/>
      <c r="L16" s="780"/>
      <c r="M16" s="672"/>
      <c r="N16" s="672"/>
      <c r="O16" s="672"/>
      <c r="P16" s="672"/>
      <c r="Q16" s="672"/>
      <c r="R16" s="672"/>
      <c r="S16" s="672"/>
      <c r="T16" s="672"/>
    </row>
    <row r="17" spans="3:20" ht="13.5" customHeight="1" x14ac:dyDescent="0.2">
      <c r="C17" s="29"/>
      <c r="D17" s="664" t="s">
        <v>178</v>
      </c>
      <c r="E17" s="171">
        <v>3856</v>
      </c>
      <c r="F17" s="171">
        <v>5109</v>
      </c>
      <c r="G17" s="171">
        <v>6646</v>
      </c>
      <c r="H17" s="674"/>
      <c r="I17" s="672">
        <v>2784</v>
      </c>
      <c r="J17" s="672">
        <v>2805</v>
      </c>
      <c r="K17" s="672">
        <v>4204</v>
      </c>
      <c r="L17" s="675"/>
      <c r="M17" s="672">
        <v>2487</v>
      </c>
      <c r="N17" s="672">
        <v>3280</v>
      </c>
      <c r="O17" s="428">
        <v>3070</v>
      </c>
      <c r="P17" s="676"/>
      <c r="Q17" s="672">
        <v>2367</v>
      </c>
      <c r="R17" s="672">
        <v>2896</v>
      </c>
      <c r="S17" s="428">
        <v>3589</v>
      </c>
      <c r="T17" s="676"/>
    </row>
    <row r="18" spans="3:20" ht="13.5" customHeight="1" x14ac:dyDescent="0.2">
      <c r="C18" s="29"/>
      <c r="D18" s="664"/>
      <c r="E18" s="171"/>
      <c r="F18" s="171"/>
      <c r="G18" s="776"/>
      <c r="H18" s="776"/>
      <c r="I18" s="672"/>
      <c r="J18" s="672"/>
      <c r="K18" s="780"/>
      <c r="L18" s="780"/>
      <c r="M18" s="672"/>
      <c r="N18" s="672"/>
      <c r="O18" s="672"/>
      <c r="P18" s="672"/>
      <c r="Q18" s="672"/>
      <c r="R18" s="672"/>
      <c r="S18" s="672"/>
      <c r="T18" s="672"/>
    </row>
    <row r="19" spans="3:20" ht="13.5" customHeight="1" x14ac:dyDescent="0.2">
      <c r="C19" s="29"/>
      <c r="D19" s="664" t="s">
        <v>179</v>
      </c>
      <c r="E19" s="171">
        <v>1353</v>
      </c>
      <c r="F19" s="171">
        <v>1714</v>
      </c>
      <c r="G19" s="171">
        <v>814</v>
      </c>
      <c r="H19" s="674"/>
      <c r="I19" s="672">
        <v>1505</v>
      </c>
      <c r="J19" s="672">
        <v>1577</v>
      </c>
      <c r="K19" s="672">
        <v>748</v>
      </c>
      <c r="L19" s="675"/>
      <c r="M19" s="672">
        <v>1231</v>
      </c>
      <c r="N19" s="672">
        <v>1542</v>
      </c>
      <c r="O19" s="428">
        <v>736</v>
      </c>
      <c r="P19" s="676"/>
      <c r="Q19" s="672">
        <v>1213</v>
      </c>
      <c r="R19" s="672">
        <v>1605</v>
      </c>
      <c r="S19" s="428">
        <v>850</v>
      </c>
      <c r="T19" s="676"/>
    </row>
    <row r="20" spans="3:20" ht="13.5" customHeight="1" x14ac:dyDescent="0.2">
      <c r="C20" s="29"/>
      <c r="D20" s="664"/>
      <c r="E20" s="669"/>
      <c r="F20" s="669"/>
      <c r="G20" s="776"/>
      <c r="H20" s="776"/>
      <c r="I20" s="671"/>
      <c r="J20" s="671"/>
      <c r="K20" s="777"/>
      <c r="L20" s="777"/>
      <c r="M20" s="671"/>
      <c r="N20" s="671"/>
      <c r="O20" s="672"/>
      <c r="P20" s="672"/>
      <c r="Q20" s="671"/>
      <c r="R20" s="671"/>
      <c r="S20" s="672"/>
      <c r="T20" s="672"/>
    </row>
    <row r="21" spans="3:20" ht="13.5" customHeight="1" x14ac:dyDescent="0.2">
      <c r="C21" s="29"/>
      <c r="D21" s="664" t="s">
        <v>180</v>
      </c>
      <c r="E21" s="171">
        <v>3019</v>
      </c>
      <c r="F21" s="171">
        <v>4450</v>
      </c>
      <c r="G21" s="171">
        <v>2636</v>
      </c>
      <c r="H21" s="171"/>
      <c r="I21" s="428">
        <v>3140</v>
      </c>
      <c r="J21" s="428">
        <v>3086</v>
      </c>
      <c r="K21" s="428">
        <v>1882</v>
      </c>
      <c r="L21" s="428"/>
      <c r="M21" s="428">
        <v>1829</v>
      </c>
      <c r="N21" s="428">
        <v>2368</v>
      </c>
      <c r="O21" s="428">
        <v>1365</v>
      </c>
      <c r="P21" s="428"/>
      <c r="Q21" s="428">
        <v>1868</v>
      </c>
      <c r="R21" s="428">
        <v>2357</v>
      </c>
      <c r="S21" s="428">
        <v>1278</v>
      </c>
      <c r="T21" s="428"/>
    </row>
    <row r="22" spans="3:20" ht="13.5" customHeight="1" x14ac:dyDescent="0.2">
      <c r="C22" s="29"/>
      <c r="D22" s="664"/>
      <c r="E22" s="171"/>
      <c r="F22" s="171"/>
      <c r="G22" s="776"/>
      <c r="H22" s="776"/>
      <c r="I22" s="428"/>
      <c r="J22" s="428"/>
      <c r="K22" s="777"/>
      <c r="L22" s="777"/>
      <c r="M22" s="428"/>
      <c r="N22" s="428"/>
      <c r="O22" s="672"/>
      <c r="P22" s="672"/>
      <c r="Q22" s="428"/>
      <c r="R22" s="428"/>
      <c r="S22" s="672"/>
      <c r="T22" s="672"/>
    </row>
    <row r="23" spans="3:20" ht="13.5" customHeight="1" x14ac:dyDescent="0.2">
      <c r="C23" s="29"/>
      <c r="D23" s="664" t="s">
        <v>181</v>
      </c>
      <c r="E23" s="171">
        <v>421</v>
      </c>
      <c r="F23" s="171">
        <v>485</v>
      </c>
      <c r="G23" s="171">
        <v>1134</v>
      </c>
      <c r="H23" s="171"/>
      <c r="I23" s="428">
        <v>458</v>
      </c>
      <c r="J23" s="428">
        <v>476</v>
      </c>
      <c r="K23" s="428">
        <v>1462</v>
      </c>
      <c r="L23" s="428"/>
      <c r="M23" s="428">
        <v>492</v>
      </c>
      <c r="N23" s="428">
        <v>553</v>
      </c>
      <c r="O23" s="428">
        <v>2204</v>
      </c>
      <c r="P23" s="428"/>
      <c r="Q23" s="428">
        <v>461</v>
      </c>
      <c r="R23" s="428">
        <v>525</v>
      </c>
      <c r="S23" s="428">
        <v>2029</v>
      </c>
      <c r="T23" s="428"/>
    </row>
    <row r="24" spans="3:20" ht="13.5" customHeight="1" x14ac:dyDescent="0.2">
      <c r="C24" s="29"/>
      <c r="D24" s="664"/>
      <c r="E24" s="171"/>
      <c r="F24" s="171"/>
      <c r="G24" s="776"/>
      <c r="H24" s="776"/>
      <c r="I24" s="428"/>
      <c r="J24" s="428"/>
      <c r="K24" s="777"/>
      <c r="L24" s="777"/>
      <c r="M24" s="428"/>
      <c r="N24" s="428"/>
      <c r="O24" s="672"/>
      <c r="P24" s="672"/>
      <c r="Q24" s="428"/>
      <c r="R24" s="428"/>
      <c r="S24" s="672"/>
      <c r="T24" s="672"/>
    </row>
    <row r="25" spans="3:20" ht="13.5" customHeight="1" x14ac:dyDescent="0.2">
      <c r="C25" s="29"/>
      <c r="D25" s="663" t="s">
        <v>19</v>
      </c>
      <c r="E25" s="677">
        <v>3201</v>
      </c>
      <c r="F25" s="677">
        <v>3796</v>
      </c>
      <c r="G25" s="677">
        <v>1590</v>
      </c>
      <c r="H25" s="677"/>
      <c r="I25" s="513">
        <v>2568</v>
      </c>
      <c r="J25" s="513">
        <v>2625</v>
      </c>
      <c r="K25" s="513">
        <v>1346</v>
      </c>
      <c r="L25" s="513"/>
      <c r="M25" s="513">
        <v>2463</v>
      </c>
      <c r="N25" s="513">
        <v>2806</v>
      </c>
      <c r="O25" s="513">
        <v>849</v>
      </c>
      <c r="P25" s="513"/>
      <c r="Q25" s="513">
        <v>1901</v>
      </c>
      <c r="R25" s="513">
        <v>2148</v>
      </c>
      <c r="S25" s="513">
        <v>1049</v>
      </c>
      <c r="T25" s="513"/>
    </row>
    <row r="26" spans="3:20" x14ac:dyDescent="0.2">
      <c r="C26" s="29"/>
      <c r="D26" s="678" t="s">
        <v>197</v>
      </c>
      <c r="E26" s="29"/>
      <c r="F26" s="29"/>
      <c r="G26" s="29"/>
      <c r="H26" s="29"/>
      <c r="I26" s="29"/>
      <c r="J26" s="29"/>
      <c r="K26" s="29"/>
      <c r="L26" s="29"/>
      <c r="M26" s="29"/>
      <c r="N26" s="29"/>
      <c r="O26" s="29"/>
      <c r="P26" s="29"/>
      <c r="Q26" s="29"/>
      <c r="R26" s="29"/>
      <c r="S26" s="29"/>
      <c r="T26" s="29"/>
    </row>
    <row r="27" spans="3:20" ht="13.5" customHeight="1" x14ac:dyDescent="0.2">
      <c r="C27" s="29"/>
      <c r="D27" s="659" t="s">
        <v>390</v>
      </c>
      <c r="E27" s="29"/>
      <c r="F27" s="29"/>
      <c r="G27" s="29"/>
      <c r="H27" s="29"/>
      <c r="I27" s="29"/>
      <c r="J27" s="29"/>
      <c r="K27" s="29"/>
      <c r="L27" s="29"/>
      <c r="M27" s="29"/>
      <c r="N27" s="29"/>
      <c r="O27" s="29"/>
      <c r="P27" s="29"/>
      <c r="Q27" s="29"/>
      <c r="R27" s="29"/>
      <c r="S27" s="29"/>
      <c r="T27" s="29"/>
    </row>
    <row r="28" spans="3:20" ht="13.5" customHeight="1" x14ac:dyDescent="0.2">
      <c r="C28" s="29"/>
      <c r="D28" s="662" t="s">
        <v>391</v>
      </c>
      <c r="E28" s="29"/>
      <c r="F28" s="29"/>
      <c r="G28" s="29"/>
      <c r="H28" s="29"/>
      <c r="I28" s="29"/>
      <c r="J28" s="29"/>
      <c r="K28" s="29"/>
      <c r="L28" s="29"/>
      <c r="M28" s="29"/>
      <c r="N28" s="29"/>
      <c r="O28" s="29"/>
      <c r="P28" s="29"/>
      <c r="Q28" s="29"/>
      <c r="R28" s="29"/>
      <c r="S28" s="29"/>
      <c r="T28" s="29"/>
    </row>
    <row r="29" spans="3:20" ht="13.5" customHeight="1" x14ac:dyDescent="0.2">
      <c r="C29" s="29"/>
      <c r="D29" s="662"/>
      <c r="E29" s="29"/>
      <c r="F29" s="29"/>
      <c r="G29" s="29"/>
      <c r="H29" s="29"/>
      <c r="I29" s="29"/>
      <c r="J29" s="29"/>
      <c r="K29" s="29"/>
      <c r="L29" s="29"/>
      <c r="M29" s="29"/>
      <c r="N29" s="29"/>
      <c r="O29" s="29"/>
      <c r="P29" s="29"/>
      <c r="Q29" s="29"/>
      <c r="R29" s="29"/>
      <c r="S29" s="29"/>
      <c r="T29" s="29"/>
    </row>
    <row r="30" spans="3:20" ht="13.5" customHeight="1" x14ac:dyDescent="0.2">
      <c r="C30" s="29"/>
      <c r="D30" s="299" t="s">
        <v>198</v>
      </c>
      <c r="E30" s="29"/>
      <c r="F30" s="29"/>
      <c r="G30" s="29"/>
      <c r="H30" s="29"/>
      <c r="I30" s="29"/>
      <c r="J30" s="29"/>
      <c r="K30" s="29"/>
      <c r="L30" s="29"/>
      <c r="M30" s="29"/>
      <c r="N30" s="29"/>
      <c r="O30" s="29"/>
      <c r="P30" s="29"/>
      <c r="Q30" s="29"/>
      <c r="R30" s="29"/>
      <c r="S30" s="29"/>
      <c r="T30" s="29"/>
    </row>
    <row r="31" spans="3:20" ht="13.5" customHeight="1" x14ac:dyDescent="0.2">
      <c r="C31" s="29"/>
      <c r="D31" s="662"/>
      <c r="E31" s="29"/>
      <c r="F31" s="29"/>
      <c r="G31" s="29"/>
      <c r="H31" s="29"/>
      <c r="I31" s="29"/>
      <c r="J31" s="29"/>
      <c r="K31" s="29"/>
      <c r="L31" s="29"/>
      <c r="M31" s="29"/>
      <c r="N31" s="29"/>
      <c r="O31" s="29"/>
      <c r="P31" s="29"/>
      <c r="Q31" s="29"/>
      <c r="R31" s="29"/>
      <c r="S31" s="29"/>
      <c r="T31" s="29"/>
    </row>
    <row r="32" spans="3:20" ht="13.5" customHeight="1" x14ac:dyDescent="0.2">
      <c r="C32" s="29"/>
      <c r="D32" s="29"/>
      <c r="E32" s="29"/>
      <c r="F32" s="29"/>
      <c r="G32" s="29"/>
      <c r="H32" s="29"/>
      <c r="I32" s="29"/>
      <c r="J32" s="29"/>
      <c r="K32" s="29"/>
      <c r="L32" s="29"/>
      <c r="M32" s="29"/>
      <c r="N32" s="29"/>
      <c r="O32" s="29"/>
      <c r="P32" s="29"/>
      <c r="Q32" s="29"/>
      <c r="R32" s="29"/>
      <c r="S32" s="29"/>
      <c r="T32" s="29"/>
    </row>
    <row r="33" spans="3:8" ht="13.5" customHeight="1" x14ac:dyDescent="0.2">
      <c r="C33" s="29"/>
      <c r="D33" s="662"/>
      <c r="E33" s="29"/>
      <c r="F33" s="29"/>
      <c r="G33" s="29"/>
      <c r="H33" s="29"/>
    </row>
    <row r="34" spans="3:8" ht="13.5" customHeight="1" x14ac:dyDescent="0.2">
      <c r="C34" s="29"/>
      <c r="D34" s="662"/>
      <c r="E34" s="29"/>
      <c r="F34" s="29"/>
      <c r="G34" s="29"/>
      <c r="H34" s="29"/>
    </row>
    <row r="35" spans="3:8" x14ac:dyDescent="0.2">
      <c r="C35" s="29"/>
      <c r="D35" s="29"/>
      <c r="E35" s="29"/>
      <c r="F35" s="29"/>
      <c r="G35" s="29"/>
      <c r="H35" s="29"/>
    </row>
    <row r="36" spans="3:8" x14ac:dyDescent="0.2">
      <c r="C36" s="29"/>
      <c r="D36" s="29"/>
      <c r="E36" s="29"/>
      <c r="F36" s="29"/>
      <c r="G36" s="29"/>
      <c r="H36" s="29"/>
    </row>
    <row r="37" spans="3:8" x14ac:dyDescent="0.2">
      <c r="C37" s="523"/>
      <c r="D37" s="523"/>
      <c r="E37" s="29"/>
      <c r="F37" s="29"/>
      <c r="G37" s="29"/>
      <c r="H37" s="29"/>
    </row>
    <row r="38" spans="3:8" x14ac:dyDescent="0.2">
      <c r="C38" s="29"/>
      <c r="D38" s="29"/>
      <c r="E38" s="29"/>
      <c r="F38" s="29"/>
      <c r="G38" s="29"/>
      <c r="H38" s="29"/>
    </row>
    <row r="39" spans="3:8" x14ac:dyDescent="0.2">
      <c r="C39" s="29"/>
      <c r="D39" s="662"/>
      <c r="E39" s="29"/>
      <c r="F39" s="29"/>
      <c r="G39" s="29"/>
      <c r="H39" s="29"/>
    </row>
    <row r="40" spans="3:8" x14ac:dyDescent="0.2">
      <c r="C40" s="29"/>
      <c r="D40" s="29"/>
      <c r="E40" s="29"/>
      <c r="F40" s="29"/>
      <c r="G40" s="29"/>
      <c r="H40" s="29"/>
    </row>
    <row r="41" spans="3:8" x14ac:dyDescent="0.2">
      <c r="C41" s="29"/>
      <c r="D41" s="29"/>
      <c r="E41" s="29"/>
      <c r="F41" s="29"/>
      <c r="G41" s="29"/>
      <c r="H41" s="29"/>
    </row>
    <row r="42" spans="3:8" x14ac:dyDescent="0.2">
      <c r="C42" s="29"/>
      <c r="D42" s="29"/>
      <c r="E42" s="29"/>
      <c r="F42" s="29"/>
      <c r="G42" s="29"/>
      <c r="H42" s="29"/>
    </row>
    <row r="43" spans="3:8" x14ac:dyDescent="0.2">
      <c r="C43" s="29"/>
      <c r="D43" s="29"/>
      <c r="E43" s="29"/>
      <c r="F43" s="29"/>
      <c r="G43" s="29"/>
      <c r="H43" s="29"/>
    </row>
    <row r="44" spans="3:8" x14ac:dyDescent="0.2">
      <c r="C44" s="29"/>
      <c r="D44" s="29"/>
      <c r="E44" s="29"/>
      <c r="F44" s="29"/>
      <c r="G44" s="29"/>
      <c r="H44" s="29"/>
    </row>
    <row r="45" spans="3:8" x14ac:dyDescent="0.2">
      <c r="C45" s="29"/>
      <c r="D45" s="29"/>
      <c r="E45" s="29"/>
      <c r="F45" s="29"/>
      <c r="G45" s="29"/>
      <c r="H45" s="29"/>
    </row>
    <row r="46" spans="3:8" x14ac:dyDescent="0.2">
      <c r="C46" s="29"/>
      <c r="D46" s="29"/>
      <c r="E46" s="29"/>
      <c r="F46" s="29"/>
      <c r="G46" s="29"/>
      <c r="H46" s="29"/>
    </row>
    <row r="47" spans="3:8" x14ac:dyDescent="0.2">
      <c r="C47" s="29"/>
      <c r="D47" s="29"/>
      <c r="E47" s="29"/>
      <c r="F47" s="29"/>
      <c r="G47" s="29"/>
      <c r="H47" s="29"/>
    </row>
    <row r="48" spans="3:8" x14ac:dyDescent="0.2">
      <c r="C48" s="29"/>
      <c r="D48" s="29"/>
      <c r="E48" s="29"/>
      <c r="F48" s="29"/>
      <c r="G48" s="29"/>
      <c r="H48" s="29"/>
    </row>
    <row r="49" spans="3:4" ht="12" customHeight="1" x14ac:dyDescent="0.2">
      <c r="C49" s="29"/>
      <c r="D49" s="29"/>
    </row>
    <row r="50" spans="3:4" x14ac:dyDescent="0.2">
      <c r="C50" s="29"/>
      <c r="D50" s="29"/>
    </row>
    <row r="51" spans="3:4" x14ac:dyDescent="0.2">
      <c r="C51" s="29"/>
      <c r="D51" s="29"/>
    </row>
    <row r="52" spans="3:4" x14ac:dyDescent="0.2">
      <c r="C52" s="29"/>
      <c r="D52" s="29"/>
    </row>
    <row r="53" spans="3:4" ht="12.75" customHeight="1" x14ac:dyDescent="0.2">
      <c r="C53" s="29"/>
      <c r="D53" s="29"/>
    </row>
    <row r="54" spans="3:4" x14ac:dyDescent="0.2">
      <c r="C54" s="29"/>
      <c r="D54" s="29"/>
    </row>
    <row r="55" spans="3:4" x14ac:dyDescent="0.2">
      <c r="C55" s="29"/>
      <c r="D55" s="29"/>
    </row>
    <row r="56" spans="3:4" x14ac:dyDescent="0.2">
      <c r="C56" s="29"/>
      <c r="D56" s="29"/>
    </row>
    <row r="57" spans="3:4" x14ac:dyDescent="0.2">
      <c r="C57" s="29"/>
      <c r="D57" s="29"/>
    </row>
    <row r="58" spans="3:4" ht="9.75" customHeight="1" x14ac:dyDescent="0.2">
      <c r="C58" s="29"/>
      <c r="D58" s="29"/>
    </row>
    <row r="59" spans="3:4" x14ac:dyDescent="0.2">
      <c r="C59" s="29"/>
      <c r="D59" s="29"/>
    </row>
    <row r="60" spans="3:4" x14ac:dyDescent="0.2">
      <c r="C60" s="29"/>
      <c r="D60" s="29"/>
    </row>
    <row r="61" spans="3:4" x14ac:dyDescent="0.2">
      <c r="C61" s="29"/>
      <c r="D61" s="29"/>
    </row>
    <row r="62" spans="3:4" ht="9" customHeight="1" x14ac:dyDescent="0.2">
      <c r="C62" s="29"/>
      <c r="D62" s="29"/>
    </row>
    <row r="63" spans="3:4" x14ac:dyDescent="0.2">
      <c r="C63" s="29"/>
      <c r="D63" s="29"/>
    </row>
    <row r="64" spans="3:4" x14ac:dyDescent="0.2">
      <c r="C64" s="29"/>
      <c r="D64" s="29"/>
    </row>
    <row r="65" spans="3:4" x14ac:dyDescent="0.2">
      <c r="C65" s="29"/>
      <c r="D65" s="29"/>
    </row>
    <row r="66" spans="3:4" x14ac:dyDescent="0.2">
      <c r="C66" s="29"/>
      <c r="D66" s="29"/>
    </row>
  </sheetData>
  <mergeCells count="21">
    <mergeCell ref="G24:H24"/>
    <mergeCell ref="K24:L24"/>
    <mergeCell ref="G11:H11"/>
    <mergeCell ref="K11:L11"/>
    <mergeCell ref="D8:P8"/>
    <mergeCell ref="E10:H10"/>
    <mergeCell ref="I10:L10"/>
    <mergeCell ref="M10:P10"/>
    <mergeCell ref="G16:H16"/>
    <mergeCell ref="K16:L16"/>
    <mergeCell ref="G18:H18"/>
    <mergeCell ref="K18:L18"/>
    <mergeCell ref="G20:H20"/>
    <mergeCell ref="K20:L20"/>
    <mergeCell ref="G22:H22"/>
    <mergeCell ref="K22:L22"/>
    <mergeCell ref="Q10:T10"/>
    <mergeCell ref="G12:H12"/>
    <mergeCell ref="K12:L12"/>
    <mergeCell ref="G14:H14"/>
    <mergeCell ref="K14:L14"/>
  </mergeCells>
  <pageMargins left="0.7" right="0.7" top="0.75" bottom="0.75" header="0.3" footer="0.3"/>
  <drawing r:id="rId1"/>
  <legacyDrawing r:id="rId2"/>
  <oleObjects>
    <mc:AlternateContent xmlns:mc="http://schemas.openxmlformats.org/markup-compatibility/2006">
      <mc:Choice Requires="x14">
        <oleObject progId="MSPhotoEd.3" shapeId="55297" r:id="rId3">
          <objectPr defaultSize="0" autoPict="0" r:id="rId4">
            <anchor moveWithCells="1" sizeWithCells="1">
              <from>
                <xdr:col>2</xdr:col>
                <xdr:colOff>409575</xdr:colOff>
                <xdr:row>0</xdr:row>
                <xdr:rowOff>0</xdr:rowOff>
              </from>
              <to>
                <xdr:col>3</xdr:col>
                <xdr:colOff>962025</xdr:colOff>
                <xdr:row>3</xdr:row>
                <xdr:rowOff>85725</xdr:rowOff>
              </to>
            </anchor>
          </objectPr>
        </oleObject>
      </mc:Choice>
      <mc:Fallback>
        <oleObject progId="MSPhotoEd.3" shapeId="55297" r:id="rId3"/>
      </mc:Fallback>
    </mc:AlternateContent>
  </oleObject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J56"/>
  <sheetViews>
    <sheetView workbookViewId="0">
      <selection activeCell="J5" sqref="J5"/>
    </sheetView>
  </sheetViews>
  <sheetFormatPr defaultRowHeight="12.75" x14ac:dyDescent="0.2"/>
  <cols>
    <col min="1" max="2" width="9.140625" style="29"/>
    <col min="3" max="3" width="30" style="29" customWidth="1"/>
    <col min="4" max="5" width="14" style="29" customWidth="1"/>
    <col min="6" max="6" width="21" style="29" customWidth="1"/>
    <col min="7" max="7" width="12.7109375" style="29" customWidth="1"/>
    <col min="8" max="8" width="10.42578125" style="29" customWidth="1"/>
    <col min="9" max="9" width="13" style="29" customWidth="1"/>
    <col min="10" max="10" width="14.7109375" style="29" customWidth="1"/>
    <col min="11" max="16384" width="9.140625" style="29"/>
  </cols>
  <sheetData>
    <row r="2" spans="2:10" ht="15" customHeight="1" x14ac:dyDescent="0.2">
      <c r="G2" s="781" t="s">
        <v>374</v>
      </c>
      <c r="H2" s="781"/>
      <c r="I2" s="781"/>
      <c r="J2" s="781"/>
    </row>
    <row r="6" spans="2:10" ht="23.25" x14ac:dyDescent="0.35">
      <c r="B6" s="679" t="s">
        <v>321</v>
      </c>
      <c r="C6" s="782" t="s">
        <v>393</v>
      </c>
      <c r="D6" s="782"/>
      <c r="E6" s="782"/>
      <c r="F6" s="782"/>
      <c r="G6" s="782"/>
      <c r="H6" s="782"/>
      <c r="I6" s="782"/>
      <c r="J6" s="782"/>
    </row>
    <row r="7" spans="2:10" ht="15" x14ac:dyDescent="0.25">
      <c r="B7" s="50"/>
      <c r="C7" s="685"/>
      <c r="D7" s="686"/>
      <c r="E7" s="686"/>
      <c r="F7" s="686"/>
      <c r="G7" s="686"/>
      <c r="H7" s="686"/>
      <c r="I7" s="686"/>
      <c r="J7" s="686"/>
    </row>
    <row r="8" spans="2:10" ht="15" x14ac:dyDescent="0.25">
      <c r="B8" s="50"/>
      <c r="C8" s="687" t="s">
        <v>292</v>
      </c>
      <c r="D8" s="408" t="s">
        <v>1</v>
      </c>
      <c r="E8" s="408" t="s">
        <v>1</v>
      </c>
      <c r="F8" s="408"/>
      <c r="G8" s="408"/>
      <c r="H8" s="408"/>
      <c r="I8" s="408"/>
      <c r="J8" s="413"/>
    </row>
    <row r="9" spans="2:10" ht="15" x14ac:dyDescent="0.25">
      <c r="B9" s="50"/>
      <c r="C9" s="688" t="s">
        <v>293</v>
      </c>
      <c r="D9" s="689" t="s">
        <v>177</v>
      </c>
      <c r="E9" s="689" t="s">
        <v>178</v>
      </c>
      <c r="F9" s="689" t="s">
        <v>179</v>
      </c>
      <c r="G9" s="689" t="s">
        <v>180</v>
      </c>
      <c r="H9" s="689" t="s">
        <v>181</v>
      </c>
      <c r="I9" s="689" t="s">
        <v>19</v>
      </c>
      <c r="J9" s="688" t="s">
        <v>25</v>
      </c>
    </row>
    <row r="10" spans="2:10" ht="15" x14ac:dyDescent="0.25">
      <c r="B10" s="50"/>
      <c r="C10" s="690" t="s">
        <v>351</v>
      </c>
      <c r="D10" s="534">
        <v>0</v>
      </c>
      <c r="E10" s="534">
        <v>0</v>
      </c>
      <c r="F10" s="534">
        <v>0</v>
      </c>
      <c r="G10" s="534">
        <v>0</v>
      </c>
      <c r="H10" s="534">
        <v>0</v>
      </c>
      <c r="I10" s="691">
        <v>817</v>
      </c>
      <c r="J10" s="692">
        <v>817</v>
      </c>
    </row>
    <row r="11" spans="2:10" ht="15" x14ac:dyDescent="0.25">
      <c r="B11" s="50"/>
      <c r="C11" s="693" t="s">
        <v>295</v>
      </c>
      <c r="D11" s="534">
        <v>3958</v>
      </c>
      <c r="E11" s="534">
        <v>1480</v>
      </c>
      <c r="F11" s="534">
        <v>762</v>
      </c>
      <c r="G11" s="534">
        <v>725</v>
      </c>
      <c r="H11" s="534">
        <v>323</v>
      </c>
      <c r="I11" s="534">
        <v>284</v>
      </c>
      <c r="J11" s="694">
        <v>7532</v>
      </c>
    </row>
    <row r="12" spans="2:10" ht="15" x14ac:dyDescent="0.25">
      <c r="B12" s="50"/>
      <c r="C12" s="693" t="s">
        <v>296</v>
      </c>
      <c r="D12" s="534">
        <v>2631</v>
      </c>
      <c r="E12" s="534">
        <v>1161</v>
      </c>
      <c r="F12" s="534">
        <v>782</v>
      </c>
      <c r="G12" s="534">
        <v>338</v>
      </c>
      <c r="H12" s="534">
        <v>287</v>
      </c>
      <c r="I12" s="534">
        <v>206</v>
      </c>
      <c r="J12" s="694">
        <v>5405</v>
      </c>
    </row>
    <row r="13" spans="2:10" ht="15" x14ac:dyDescent="0.25">
      <c r="B13" s="50"/>
      <c r="C13" s="693" t="s">
        <v>297</v>
      </c>
      <c r="D13" s="534">
        <v>2476</v>
      </c>
      <c r="E13" s="534">
        <v>589</v>
      </c>
      <c r="F13" s="534">
        <v>804</v>
      </c>
      <c r="G13" s="534">
        <v>118</v>
      </c>
      <c r="H13" s="534">
        <v>234</v>
      </c>
      <c r="I13" s="534">
        <v>0</v>
      </c>
      <c r="J13" s="694">
        <v>4221</v>
      </c>
    </row>
    <row r="14" spans="2:10" ht="15" x14ac:dyDescent="0.25">
      <c r="B14" s="50"/>
      <c r="C14" s="693" t="s">
        <v>298</v>
      </c>
      <c r="D14" s="534">
        <v>2169</v>
      </c>
      <c r="E14" s="534">
        <v>86</v>
      </c>
      <c r="F14" s="534">
        <v>0</v>
      </c>
      <c r="G14" s="534">
        <v>4</v>
      </c>
      <c r="H14" s="534">
        <v>0</v>
      </c>
      <c r="I14" s="534">
        <v>267</v>
      </c>
      <c r="J14" s="694">
        <v>2526</v>
      </c>
    </row>
    <row r="15" spans="2:10" ht="15" x14ac:dyDescent="0.25">
      <c r="B15" s="50"/>
      <c r="C15" s="693" t="s">
        <v>299</v>
      </c>
      <c r="D15" s="534">
        <v>2279</v>
      </c>
      <c r="E15" s="534">
        <v>1490</v>
      </c>
      <c r="F15" s="534">
        <v>745</v>
      </c>
      <c r="G15" s="534">
        <v>969</v>
      </c>
      <c r="H15" s="534">
        <v>414</v>
      </c>
      <c r="I15" s="171">
        <v>333</v>
      </c>
      <c r="J15" s="694">
        <v>6230</v>
      </c>
    </row>
    <row r="16" spans="2:10" ht="15" x14ac:dyDescent="0.25">
      <c r="B16" s="50"/>
      <c r="C16" s="693" t="s">
        <v>300</v>
      </c>
      <c r="D16" s="534">
        <v>2340</v>
      </c>
      <c r="E16" s="534">
        <v>3716</v>
      </c>
      <c r="F16" s="534">
        <v>739</v>
      </c>
      <c r="G16" s="534">
        <v>165</v>
      </c>
      <c r="H16" s="534">
        <v>769</v>
      </c>
      <c r="I16" s="534">
        <v>587</v>
      </c>
      <c r="J16" s="694">
        <v>8316</v>
      </c>
    </row>
    <row r="17" spans="2:10" ht="15" x14ac:dyDescent="0.25">
      <c r="B17" s="50"/>
      <c r="C17" s="693" t="s">
        <v>301</v>
      </c>
      <c r="D17" s="534">
        <v>1593</v>
      </c>
      <c r="E17" s="534">
        <v>1024</v>
      </c>
      <c r="F17" s="534">
        <v>757</v>
      </c>
      <c r="G17" s="534">
        <v>455</v>
      </c>
      <c r="H17" s="534">
        <v>840</v>
      </c>
      <c r="I17" s="534">
        <v>415</v>
      </c>
      <c r="J17" s="694">
        <v>5084</v>
      </c>
    </row>
    <row r="18" spans="2:10" ht="15" x14ac:dyDescent="0.25">
      <c r="B18" s="50"/>
      <c r="C18" s="693" t="s">
        <v>302</v>
      </c>
      <c r="D18" s="534">
        <v>787</v>
      </c>
      <c r="E18" s="534">
        <v>275</v>
      </c>
      <c r="F18" s="534">
        <v>722</v>
      </c>
      <c r="G18" s="534">
        <v>61</v>
      </c>
      <c r="H18" s="534">
        <v>217</v>
      </c>
      <c r="I18" s="534">
        <v>65</v>
      </c>
      <c r="J18" s="694">
        <v>2127</v>
      </c>
    </row>
    <row r="19" spans="2:10" ht="15" x14ac:dyDescent="0.25">
      <c r="B19" s="50"/>
      <c r="C19" s="693" t="s">
        <v>352</v>
      </c>
      <c r="D19" s="534">
        <v>174</v>
      </c>
      <c r="E19" s="534">
        <v>0</v>
      </c>
      <c r="F19" s="534">
        <v>0</v>
      </c>
      <c r="G19" s="534">
        <v>0</v>
      </c>
      <c r="H19" s="534">
        <v>0</v>
      </c>
      <c r="I19" s="534">
        <v>0</v>
      </c>
      <c r="J19" s="694">
        <v>174</v>
      </c>
    </row>
    <row r="20" spans="2:10" ht="15" x14ac:dyDescent="0.25">
      <c r="B20" s="50"/>
      <c r="C20" s="695" t="s">
        <v>303</v>
      </c>
      <c r="D20" s="171"/>
      <c r="E20" s="171"/>
      <c r="F20" s="171"/>
      <c r="G20" s="171"/>
      <c r="H20" s="171"/>
      <c r="I20" s="171"/>
      <c r="J20" s="694"/>
    </row>
    <row r="21" spans="2:10" ht="15" x14ac:dyDescent="0.25">
      <c r="B21" s="50"/>
      <c r="C21" s="693" t="s">
        <v>295</v>
      </c>
      <c r="D21" s="534">
        <v>1251</v>
      </c>
      <c r="E21" s="534">
        <v>440</v>
      </c>
      <c r="F21" s="534">
        <v>403</v>
      </c>
      <c r="G21" s="534">
        <v>23</v>
      </c>
      <c r="H21" s="534">
        <v>71</v>
      </c>
      <c r="I21" s="534">
        <v>160</v>
      </c>
      <c r="J21" s="694">
        <v>2348</v>
      </c>
    </row>
    <row r="22" spans="2:10" ht="15" x14ac:dyDescent="0.25">
      <c r="B22" s="50"/>
      <c r="C22" s="693" t="s">
        <v>296</v>
      </c>
      <c r="D22" s="534">
        <v>868</v>
      </c>
      <c r="E22" s="534">
        <v>180</v>
      </c>
      <c r="F22" s="534">
        <v>434</v>
      </c>
      <c r="G22" s="534">
        <v>37</v>
      </c>
      <c r="H22" s="534">
        <v>90</v>
      </c>
      <c r="I22" s="171">
        <v>109</v>
      </c>
      <c r="J22" s="694">
        <v>1718</v>
      </c>
    </row>
    <row r="23" spans="2:10" ht="15" x14ac:dyDescent="0.25">
      <c r="B23" s="50"/>
      <c r="C23" s="693" t="s">
        <v>297</v>
      </c>
      <c r="D23" s="534">
        <v>488</v>
      </c>
      <c r="E23" s="534">
        <v>87</v>
      </c>
      <c r="F23" s="534">
        <v>432</v>
      </c>
      <c r="G23" s="534">
        <v>18</v>
      </c>
      <c r="H23" s="534">
        <v>96</v>
      </c>
      <c r="I23" s="534">
        <v>55</v>
      </c>
      <c r="J23" s="694">
        <v>1176</v>
      </c>
    </row>
    <row r="24" spans="2:10" ht="15" x14ac:dyDescent="0.25">
      <c r="B24" s="50"/>
      <c r="C24" s="693" t="s">
        <v>298</v>
      </c>
      <c r="D24" s="534">
        <v>221</v>
      </c>
      <c r="E24" s="534">
        <v>52</v>
      </c>
      <c r="F24" s="534">
        <v>382</v>
      </c>
      <c r="G24" s="534">
        <v>5</v>
      </c>
      <c r="H24" s="534">
        <v>78</v>
      </c>
      <c r="I24" s="534">
        <v>8</v>
      </c>
      <c r="J24" s="694">
        <v>746</v>
      </c>
    </row>
    <row r="25" spans="2:10" ht="15" x14ac:dyDescent="0.25">
      <c r="B25" s="50"/>
      <c r="C25" s="693" t="s">
        <v>361</v>
      </c>
      <c r="D25" s="534">
        <v>0</v>
      </c>
      <c r="E25" s="534">
        <v>0</v>
      </c>
      <c r="F25" s="534">
        <v>0</v>
      </c>
      <c r="G25" s="534">
        <v>2</v>
      </c>
      <c r="H25" s="534">
        <v>0</v>
      </c>
      <c r="I25" s="534">
        <v>0</v>
      </c>
      <c r="J25" s="694">
        <v>2</v>
      </c>
    </row>
    <row r="26" spans="2:10" ht="15" x14ac:dyDescent="0.25">
      <c r="B26" s="50"/>
      <c r="C26" s="696"/>
      <c r="D26" s="171"/>
      <c r="E26" s="171"/>
      <c r="F26" s="171"/>
      <c r="G26" s="171"/>
      <c r="H26" s="171"/>
      <c r="I26" s="171"/>
      <c r="J26" s="697"/>
    </row>
    <row r="27" spans="2:10" ht="15" x14ac:dyDescent="0.25">
      <c r="B27" s="50"/>
      <c r="C27" s="698" t="s">
        <v>394</v>
      </c>
      <c r="D27" s="699">
        <v>21235</v>
      </c>
      <c r="E27" s="699">
        <f>SUM(E10:E25)</f>
        <v>10580</v>
      </c>
      <c r="F27" s="699">
        <v>6962</v>
      </c>
      <c r="G27" s="699">
        <f>SUM(G10:G25)</f>
        <v>2920</v>
      </c>
      <c r="H27" s="699">
        <v>3419</v>
      </c>
      <c r="I27" s="699">
        <v>3306</v>
      </c>
      <c r="J27" s="700">
        <v>48422</v>
      </c>
    </row>
    <row r="28" spans="2:10" ht="16.5" hidden="1" customHeight="1" x14ac:dyDescent="0.25">
      <c r="B28" s="50"/>
      <c r="C28" s="701" t="s">
        <v>353</v>
      </c>
      <c r="D28" s="702"/>
      <c r="E28" s="703"/>
      <c r="F28" s="703"/>
      <c r="G28" s="703"/>
      <c r="H28" s="703"/>
      <c r="I28" s="703"/>
      <c r="J28" s="440"/>
    </row>
    <row r="29" spans="2:10" ht="18.75" customHeight="1" x14ac:dyDescent="0.2"/>
    <row r="30" spans="2:10" ht="23.25" x14ac:dyDescent="0.35">
      <c r="B30" s="679" t="s">
        <v>322</v>
      </c>
      <c r="C30" s="783" t="s">
        <v>395</v>
      </c>
      <c r="D30" s="783"/>
      <c r="E30" s="783"/>
      <c r="F30" s="783"/>
      <c r="G30" s="783"/>
    </row>
    <row r="31" spans="2:10" ht="15" x14ac:dyDescent="0.25">
      <c r="C31" s="784" t="s">
        <v>280</v>
      </c>
      <c r="D31" s="785"/>
      <c r="E31" s="786"/>
      <c r="F31" s="784" t="s">
        <v>283</v>
      </c>
      <c r="G31" s="786"/>
    </row>
    <row r="32" spans="2:10" ht="15" x14ac:dyDescent="0.25">
      <c r="C32" s="704"/>
      <c r="D32" s="787">
        <v>2019</v>
      </c>
      <c r="E32" s="787"/>
      <c r="F32" s="705"/>
      <c r="G32" s="706"/>
    </row>
    <row r="33" spans="2:10" ht="26.25" x14ac:dyDescent="0.25">
      <c r="C33" s="707" t="s">
        <v>281</v>
      </c>
      <c r="D33" s="708" t="s">
        <v>94</v>
      </c>
      <c r="E33" s="708" t="s">
        <v>282</v>
      </c>
      <c r="F33" s="705" t="s">
        <v>284</v>
      </c>
      <c r="G33" s="706">
        <v>10036</v>
      </c>
    </row>
    <row r="34" spans="2:10" ht="25.5" x14ac:dyDescent="0.2">
      <c r="C34" s="693" t="s">
        <v>177</v>
      </c>
      <c r="D34" s="709">
        <v>536</v>
      </c>
      <c r="E34" s="709">
        <v>332</v>
      </c>
      <c r="F34" s="710" t="s">
        <v>285</v>
      </c>
      <c r="G34" s="709">
        <v>121</v>
      </c>
    </row>
    <row r="35" spans="2:10" ht="25.5" x14ac:dyDescent="0.2">
      <c r="C35" s="693" t="s">
        <v>178</v>
      </c>
      <c r="D35" s="711">
        <v>77</v>
      </c>
      <c r="E35" s="709">
        <v>142</v>
      </c>
      <c r="F35" s="710" t="s">
        <v>286</v>
      </c>
      <c r="G35" s="709">
        <v>11445</v>
      </c>
    </row>
    <row r="36" spans="2:10" ht="25.5" x14ac:dyDescent="0.2">
      <c r="C36" s="693" t="s">
        <v>179</v>
      </c>
      <c r="D36" s="711">
        <v>23</v>
      </c>
      <c r="E36" s="709">
        <v>53</v>
      </c>
      <c r="F36" s="710" t="s">
        <v>287</v>
      </c>
      <c r="G36" s="709">
        <v>51</v>
      </c>
    </row>
    <row r="37" spans="2:10" ht="25.5" x14ac:dyDescent="0.2">
      <c r="C37" s="693" t="s">
        <v>180</v>
      </c>
      <c r="D37" s="711">
        <v>6</v>
      </c>
      <c r="E37" s="709">
        <v>25</v>
      </c>
      <c r="F37" s="710" t="s">
        <v>288</v>
      </c>
      <c r="G37" s="709">
        <v>16</v>
      </c>
      <c r="H37" s="299"/>
    </row>
    <row r="38" spans="2:10" ht="25.5" x14ac:dyDescent="0.2">
      <c r="C38" s="693" t="s">
        <v>181</v>
      </c>
      <c r="D38" s="711">
        <v>12</v>
      </c>
      <c r="E38" s="709">
        <v>23</v>
      </c>
      <c r="F38" s="710" t="s">
        <v>289</v>
      </c>
      <c r="G38" s="709">
        <v>84</v>
      </c>
    </row>
    <row r="39" spans="2:10" ht="25.5" x14ac:dyDescent="0.2">
      <c r="C39" s="693" t="s">
        <v>19</v>
      </c>
      <c r="D39" s="711">
        <v>11</v>
      </c>
      <c r="E39" s="709">
        <v>23</v>
      </c>
      <c r="F39" s="710" t="s">
        <v>290</v>
      </c>
      <c r="G39" s="709">
        <v>29</v>
      </c>
    </row>
    <row r="40" spans="2:10" ht="15" x14ac:dyDescent="0.25">
      <c r="C40" s="712" t="s">
        <v>25</v>
      </c>
      <c r="D40" s="713">
        <v>665</v>
      </c>
      <c r="E40" s="713">
        <v>598</v>
      </c>
      <c r="F40" s="712" t="s">
        <v>291</v>
      </c>
      <c r="G40" s="713">
        <v>21782</v>
      </c>
      <c r="H40" s="50"/>
    </row>
    <row r="42" spans="2:10" x14ac:dyDescent="0.2">
      <c r="B42" s="50"/>
      <c r="C42" s="299" t="s">
        <v>396</v>
      </c>
    </row>
    <row r="43" spans="2:10" x14ac:dyDescent="0.2">
      <c r="B43" s="50"/>
      <c r="C43" s="299" t="s">
        <v>198</v>
      </c>
    </row>
    <row r="44" spans="2:10" ht="19.5" customHeight="1" x14ac:dyDescent="0.35">
      <c r="C44" s="788" t="s">
        <v>397</v>
      </c>
      <c r="D44" s="789"/>
      <c r="E44" s="789"/>
      <c r="F44" s="789"/>
      <c r="G44" s="789"/>
      <c r="H44" s="714"/>
      <c r="I44" s="714"/>
      <c r="J44" s="714"/>
    </row>
    <row r="45" spans="2:10" ht="15" x14ac:dyDescent="0.25">
      <c r="B45" s="50"/>
      <c r="C45" s="790"/>
      <c r="D45" s="790"/>
      <c r="E45" s="790"/>
      <c r="F45" s="790"/>
      <c r="G45" s="790"/>
      <c r="H45" s="50"/>
    </row>
    <row r="46" spans="2:10" ht="15" x14ac:dyDescent="0.25">
      <c r="B46" s="50"/>
      <c r="C46" s="680"/>
      <c r="D46" s="791"/>
      <c r="E46" s="792"/>
      <c r="F46" s="681"/>
      <c r="G46" s="682"/>
      <c r="H46" s="50"/>
    </row>
    <row r="47" spans="2:10" ht="15" x14ac:dyDescent="0.25">
      <c r="B47" s="50"/>
      <c r="C47" s="683"/>
      <c r="D47" s="684"/>
      <c r="E47" s="684"/>
      <c r="F47" s="681"/>
      <c r="G47" s="682"/>
      <c r="H47" s="50"/>
    </row>
    <row r="48" spans="2:10" x14ac:dyDescent="0.2">
      <c r="B48" s="50"/>
      <c r="C48" s="681"/>
      <c r="D48" s="682"/>
      <c r="E48" s="682"/>
      <c r="F48" s="681"/>
      <c r="G48" s="682"/>
      <c r="H48" s="50"/>
    </row>
    <row r="49" spans="2:8" x14ac:dyDescent="0.2">
      <c r="B49" s="50"/>
      <c r="C49" s="681"/>
      <c r="D49" s="682"/>
      <c r="E49" s="682"/>
      <c r="F49" s="681"/>
      <c r="G49" s="682"/>
      <c r="H49" s="50"/>
    </row>
    <row r="50" spans="2:8" x14ac:dyDescent="0.2">
      <c r="B50" s="50"/>
      <c r="C50" s="681"/>
      <c r="D50" s="682"/>
      <c r="E50" s="682"/>
      <c r="F50" s="681"/>
      <c r="G50" s="682"/>
      <c r="H50" s="50"/>
    </row>
    <row r="51" spans="2:8" x14ac:dyDescent="0.2">
      <c r="B51" s="50"/>
      <c r="C51" s="681"/>
      <c r="D51" s="682"/>
      <c r="E51" s="682"/>
      <c r="F51" s="681"/>
      <c r="G51" s="682"/>
      <c r="H51" s="50"/>
    </row>
    <row r="52" spans="2:8" x14ac:dyDescent="0.2">
      <c r="B52" s="50"/>
      <c r="C52" s="681"/>
      <c r="D52" s="682"/>
      <c r="E52" s="682"/>
      <c r="F52" s="681"/>
      <c r="G52" s="682"/>
      <c r="H52" s="50"/>
    </row>
    <row r="53" spans="2:8" x14ac:dyDescent="0.2">
      <c r="B53" s="50"/>
      <c r="C53" s="681"/>
      <c r="D53" s="682"/>
      <c r="E53" s="682"/>
      <c r="F53" s="681"/>
      <c r="G53" s="682"/>
      <c r="H53" s="50"/>
    </row>
    <row r="54" spans="2:8" ht="15" x14ac:dyDescent="0.25">
      <c r="B54" s="50"/>
      <c r="C54" s="680"/>
      <c r="D54" s="684"/>
      <c r="E54" s="684"/>
      <c r="F54" s="680"/>
      <c r="G54" s="684"/>
      <c r="H54" s="50"/>
    </row>
    <row r="55" spans="2:8" x14ac:dyDescent="0.2">
      <c r="C55" s="50"/>
      <c r="D55" s="50"/>
      <c r="E55" s="50"/>
      <c r="F55" s="50"/>
      <c r="G55" s="50"/>
    </row>
    <row r="56" spans="2:8" x14ac:dyDescent="0.2">
      <c r="B56" s="299"/>
    </row>
  </sheetData>
  <mergeCells count="10">
    <mergeCell ref="D32:E32"/>
    <mergeCell ref="C44:G44"/>
    <mergeCell ref="C45:E45"/>
    <mergeCell ref="F45:G45"/>
    <mergeCell ref="D46:E46"/>
    <mergeCell ref="G2:J2"/>
    <mergeCell ref="C6:J6"/>
    <mergeCell ref="C30:G30"/>
    <mergeCell ref="C31:E31"/>
    <mergeCell ref="F31:G31"/>
  </mergeCells>
  <pageMargins left="0.7" right="0.7" top="0.75" bottom="0.75" header="0.3" footer="0.3"/>
  <drawing r:id="rId1"/>
  <legacyDrawing r:id="rId2"/>
  <oleObjects>
    <mc:AlternateContent xmlns:mc="http://schemas.openxmlformats.org/markup-compatibility/2006">
      <mc:Choice Requires="x14">
        <oleObject progId="MSPhotoEd.3" shapeId="56321" r:id="rId3">
          <objectPr defaultSize="0" autoPict="0" r:id="rId4">
            <anchor moveWithCells="1" sizeWithCells="1">
              <from>
                <xdr:col>2</xdr:col>
                <xdr:colOff>266700</xdr:colOff>
                <xdr:row>0</xdr:row>
                <xdr:rowOff>95250</xdr:rowOff>
              </from>
              <to>
                <xdr:col>2</xdr:col>
                <xdr:colOff>1314450</xdr:colOff>
                <xdr:row>3</xdr:row>
                <xdr:rowOff>152400</xdr:rowOff>
              </to>
            </anchor>
          </objectPr>
        </oleObject>
      </mc:Choice>
      <mc:Fallback>
        <oleObject progId="MSPhotoEd.3" shapeId="56321" r:id="rId3"/>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workbookViewId="0">
      <selection activeCell="A12" sqref="A12:K60"/>
    </sheetView>
  </sheetViews>
  <sheetFormatPr defaultRowHeight="12.75" x14ac:dyDescent="0.2"/>
  <sheetData>
    <row r="1" spans="1:12" ht="15" x14ac:dyDescent="0.25">
      <c r="A1" s="342"/>
      <c r="B1" s="342"/>
      <c r="C1" s="342"/>
      <c r="D1" s="342"/>
      <c r="E1" s="342"/>
      <c r="F1" s="342"/>
      <c r="G1" s="342"/>
      <c r="H1" s="342"/>
      <c r="I1" s="342"/>
      <c r="J1" s="342"/>
      <c r="K1" s="342"/>
      <c r="L1" s="342"/>
    </row>
    <row r="2" spans="1:12" x14ac:dyDescent="0.2">
      <c r="A2" s="793" t="s">
        <v>229</v>
      </c>
      <c r="B2" s="793"/>
      <c r="C2" s="793"/>
      <c r="D2" s="793"/>
      <c r="E2" s="793"/>
      <c r="F2" s="793"/>
      <c r="G2" s="793"/>
      <c r="H2" s="793"/>
      <c r="I2" s="793"/>
      <c r="J2" s="793"/>
      <c r="K2" s="793"/>
      <c r="L2" s="351"/>
    </row>
    <row r="3" spans="1:12" ht="15" x14ac:dyDescent="0.25">
      <c r="A3" s="342"/>
      <c r="B3" s="342"/>
      <c r="C3" s="342"/>
      <c r="D3" s="342"/>
      <c r="E3" s="342"/>
      <c r="F3" s="342"/>
      <c r="G3" s="342"/>
      <c r="H3" s="342"/>
      <c r="I3" s="342"/>
      <c r="J3" s="342"/>
      <c r="K3" s="342"/>
      <c r="L3" s="342"/>
    </row>
    <row r="4" spans="1:12" ht="38.25" customHeight="1" x14ac:dyDescent="0.2">
      <c r="A4" s="794" t="s">
        <v>166</v>
      </c>
      <c r="B4" s="794"/>
      <c r="C4" s="794"/>
      <c r="D4" s="794"/>
      <c r="E4" s="794"/>
      <c r="F4" s="794"/>
      <c r="G4" s="794"/>
      <c r="H4" s="794"/>
      <c r="I4" s="794"/>
      <c r="J4" s="794"/>
      <c r="K4" s="794"/>
      <c r="L4" s="352"/>
    </row>
    <row r="5" spans="1:12" ht="15" x14ac:dyDescent="0.25">
      <c r="A5" s="342"/>
      <c r="B5" s="342"/>
      <c r="C5" s="342"/>
      <c r="D5" s="342"/>
      <c r="E5" s="342"/>
      <c r="F5" s="342"/>
      <c r="G5" s="342"/>
      <c r="H5" s="342"/>
      <c r="I5" s="342"/>
      <c r="J5" s="342"/>
      <c r="K5" s="342"/>
      <c r="L5" s="342"/>
    </row>
    <row r="6" spans="1:12" ht="51" customHeight="1" x14ac:dyDescent="0.2">
      <c r="A6" s="794" t="s">
        <v>167</v>
      </c>
      <c r="B6" s="794"/>
      <c r="C6" s="794"/>
      <c r="D6" s="794"/>
      <c r="E6" s="794"/>
      <c r="F6" s="794"/>
      <c r="G6" s="794"/>
      <c r="H6" s="794"/>
      <c r="I6" s="794"/>
      <c r="J6" s="794"/>
      <c r="K6" s="794"/>
      <c r="L6" s="352"/>
    </row>
    <row r="7" spans="1:12" ht="15" x14ac:dyDescent="0.25">
      <c r="A7" s="342"/>
      <c r="B7" s="342"/>
      <c r="C7" s="342"/>
      <c r="D7" s="342"/>
      <c r="E7" s="342"/>
      <c r="F7" s="342"/>
      <c r="G7" s="342"/>
      <c r="H7" s="342"/>
      <c r="I7" s="342"/>
      <c r="J7" s="342"/>
      <c r="K7" s="342"/>
      <c r="L7" s="342"/>
    </row>
    <row r="8" spans="1:12" ht="38.25" customHeight="1" x14ac:dyDescent="0.2">
      <c r="A8" s="794" t="s">
        <v>168</v>
      </c>
      <c r="B8" s="794"/>
      <c r="C8" s="794"/>
      <c r="D8" s="794"/>
      <c r="E8" s="794"/>
      <c r="F8" s="794"/>
      <c r="G8" s="794"/>
      <c r="H8" s="794"/>
      <c r="I8" s="794"/>
      <c r="J8" s="794"/>
      <c r="K8" s="794"/>
      <c r="L8" s="352"/>
    </row>
    <row r="9" spans="1:12" ht="15" x14ac:dyDescent="0.25">
      <c r="A9" s="342"/>
      <c r="B9" s="391"/>
      <c r="C9" s="391"/>
      <c r="D9" s="391"/>
      <c r="E9" s="391"/>
      <c r="F9" s="391"/>
      <c r="G9" s="391"/>
      <c r="H9" s="391"/>
      <c r="I9" s="391"/>
      <c r="J9" s="391"/>
      <c r="K9" s="353"/>
      <c r="L9" s="353"/>
    </row>
    <row r="10" spans="1:12" ht="13.5" thickBot="1" x14ac:dyDescent="0.25">
      <c r="A10" s="343"/>
      <c r="B10" s="354"/>
      <c r="C10" s="354"/>
      <c r="D10" s="354"/>
      <c r="E10" s="354"/>
      <c r="F10" s="354"/>
      <c r="G10" s="354"/>
      <c r="H10" s="354"/>
      <c r="I10" s="354"/>
      <c r="J10" s="354"/>
      <c r="K10" s="354"/>
      <c r="L10" s="394"/>
    </row>
    <row r="11" spans="1:12" ht="13.5" thickBot="1" x14ac:dyDescent="0.25">
      <c r="A11" s="795" t="s">
        <v>151</v>
      </c>
      <c r="B11" s="796"/>
      <c r="C11" s="796"/>
      <c r="D11" s="354"/>
      <c r="E11" s="797" t="s">
        <v>152</v>
      </c>
      <c r="F11" s="798"/>
      <c r="G11" s="799"/>
      <c r="H11" s="355"/>
      <c r="I11" s="355"/>
      <c r="J11" s="355"/>
      <c r="K11" s="356" t="s">
        <v>153</v>
      </c>
      <c r="L11" s="395"/>
    </row>
    <row r="12" spans="1:12" ht="15" x14ac:dyDescent="0.25">
      <c r="A12" s="800" t="s">
        <v>154</v>
      </c>
      <c r="B12" s="801"/>
      <c r="C12" s="353"/>
      <c r="D12" s="353"/>
      <c r="E12" s="357"/>
      <c r="F12" s="353"/>
      <c r="G12" s="358">
        <v>0</v>
      </c>
      <c r="H12" s="357"/>
      <c r="I12" s="394"/>
      <c r="J12" s="394"/>
      <c r="K12" s="358">
        <v>0</v>
      </c>
      <c r="L12" s="358"/>
    </row>
    <row r="13" spans="1:12" ht="15" x14ac:dyDescent="0.25">
      <c r="A13" s="802" t="s">
        <v>161</v>
      </c>
      <c r="B13" s="803"/>
      <c r="C13" s="353"/>
      <c r="D13" s="353"/>
      <c r="E13" s="357"/>
      <c r="F13" s="353"/>
      <c r="G13" s="358">
        <v>0</v>
      </c>
      <c r="H13" s="357"/>
      <c r="I13" s="394"/>
      <c r="J13" s="394"/>
      <c r="K13" s="358">
        <v>1</v>
      </c>
      <c r="L13" s="358"/>
    </row>
    <row r="14" spans="1:12" ht="15" x14ac:dyDescent="0.25">
      <c r="A14" s="802" t="s">
        <v>117</v>
      </c>
      <c r="B14" s="803"/>
      <c r="C14" s="353"/>
      <c r="D14" s="353"/>
      <c r="E14" s="357"/>
      <c r="F14" s="353"/>
      <c r="G14" s="358">
        <v>1</v>
      </c>
      <c r="H14" s="357"/>
      <c r="I14" s="394"/>
      <c r="J14" s="394"/>
      <c r="K14" s="358">
        <v>1</v>
      </c>
      <c r="L14" s="358"/>
    </row>
    <row r="15" spans="1:12" ht="15" x14ac:dyDescent="0.25">
      <c r="A15" s="802" t="s">
        <v>162</v>
      </c>
      <c r="B15" s="803"/>
      <c r="C15" s="353"/>
      <c r="D15" s="353"/>
      <c r="E15" s="357"/>
      <c r="F15" s="353"/>
      <c r="G15" s="358">
        <v>1</v>
      </c>
      <c r="H15" s="357"/>
      <c r="I15" s="394"/>
      <c r="J15" s="394"/>
      <c r="K15" s="358">
        <v>2</v>
      </c>
      <c r="L15" s="358"/>
    </row>
    <row r="16" spans="1:12" ht="15" x14ac:dyDescent="0.25">
      <c r="A16" s="342"/>
      <c r="B16" s="353"/>
      <c r="C16" s="353"/>
      <c r="D16" s="353"/>
      <c r="E16" s="357"/>
      <c r="F16" s="353"/>
      <c r="G16" s="353"/>
      <c r="H16" s="357"/>
      <c r="I16" s="394"/>
      <c r="J16" s="394"/>
      <c r="K16" s="353"/>
      <c r="L16" s="353"/>
    </row>
    <row r="17" spans="1:12" ht="15" x14ac:dyDescent="0.25">
      <c r="A17" s="802" t="s">
        <v>118</v>
      </c>
      <c r="B17" s="803"/>
      <c r="C17" s="353"/>
      <c r="D17" s="353"/>
      <c r="E17" s="357"/>
      <c r="F17" s="353"/>
      <c r="G17" s="358">
        <v>2</v>
      </c>
      <c r="H17" s="357"/>
      <c r="I17" s="394"/>
      <c r="J17" s="394"/>
      <c r="K17" s="358">
        <v>2</v>
      </c>
      <c r="L17" s="358"/>
    </row>
    <row r="18" spans="1:12" ht="15" x14ac:dyDescent="0.25">
      <c r="A18" s="802" t="s">
        <v>163</v>
      </c>
      <c r="B18" s="803"/>
      <c r="C18" s="803"/>
      <c r="D18" s="353"/>
      <c r="E18" s="357"/>
      <c r="F18" s="353"/>
      <c r="G18" s="358">
        <v>2</v>
      </c>
      <c r="H18" s="357"/>
      <c r="I18" s="394"/>
      <c r="J18" s="394"/>
      <c r="K18" s="358">
        <v>3</v>
      </c>
      <c r="L18" s="358"/>
    </row>
    <row r="19" spans="1:12" ht="15" x14ac:dyDescent="0.25">
      <c r="A19" s="802" t="s">
        <v>119</v>
      </c>
      <c r="B19" s="803"/>
      <c r="C19" s="803"/>
      <c r="D19" s="353"/>
      <c r="E19" s="357"/>
      <c r="F19" s="353"/>
      <c r="G19" s="358">
        <v>3</v>
      </c>
      <c r="H19" s="357"/>
      <c r="I19" s="394"/>
      <c r="J19" s="394"/>
      <c r="K19" s="358">
        <v>3</v>
      </c>
      <c r="L19" s="358"/>
    </row>
    <row r="20" spans="1:12" ht="15" x14ac:dyDescent="0.25">
      <c r="A20" s="802" t="s">
        <v>155</v>
      </c>
      <c r="B20" s="803"/>
      <c r="C20" s="353"/>
      <c r="D20" s="353"/>
      <c r="E20" s="357"/>
      <c r="F20" s="353"/>
      <c r="G20" s="358">
        <v>4</v>
      </c>
      <c r="H20" s="357"/>
      <c r="I20" s="394"/>
      <c r="J20" s="394"/>
      <c r="K20" s="358">
        <v>4</v>
      </c>
      <c r="L20" s="358"/>
    </row>
    <row r="21" spans="1:12" ht="15" x14ac:dyDescent="0.25">
      <c r="A21" s="342"/>
      <c r="B21" s="353"/>
      <c r="C21" s="353"/>
      <c r="D21" s="353"/>
      <c r="E21" s="357"/>
      <c r="F21" s="353"/>
      <c r="G21" s="353"/>
      <c r="H21" s="357"/>
      <c r="I21" s="394"/>
      <c r="J21" s="394"/>
      <c r="K21" s="353"/>
      <c r="L21" s="353"/>
    </row>
    <row r="22" spans="1:12" ht="15" x14ac:dyDescent="0.25">
      <c r="A22" s="802" t="s">
        <v>104</v>
      </c>
      <c r="B22" s="803"/>
      <c r="C22" s="803"/>
      <c r="D22" s="353"/>
      <c r="E22" s="357"/>
      <c r="F22" s="353"/>
      <c r="G22" s="358">
        <v>4</v>
      </c>
      <c r="H22" s="357"/>
      <c r="I22" s="394"/>
      <c r="J22" s="394"/>
      <c r="K22" s="358">
        <v>4</v>
      </c>
      <c r="L22" s="358"/>
    </row>
    <row r="23" spans="1:12" ht="15" x14ac:dyDescent="0.25">
      <c r="A23" s="802" t="s">
        <v>156</v>
      </c>
      <c r="B23" s="803"/>
      <c r="C23" s="803"/>
      <c r="D23" s="353"/>
      <c r="E23" s="357"/>
      <c r="F23" s="353"/>
      <c r="G23" s="358" t="s">
        <v>159</v>
      </c>
      <c r="H23" s="357"/>
      <c r="I23" s="394"/>
      <c r="J23" s="394"/>
      <c r="K23" s="358" t="s">
        <v>159</v>
      </c>
      <c r="L23" s="358"/>
    </row>
    <row r="24" spans="1:12" ht="15" x14ac:dyDescent="0.25">
      <c r="A24" s="802" t="s">
        <v>157</v>
      </c>
      <c r="B24" s="803"/>
      <c r="C24" s="803"/>
      <c r="D24" s="353"/>
      <c r="E24" s="357"/>
      <c r="F24" s="353"/>
      <c r="G24" s="358" t="s">
        <v>160</v>
      </c>
      <c r="H24" s="357"/>
      <c r="I24" s="394"/>
      <c r="J24" s="394"/>
      <c r="K24" s="358" t="s">
        <v>160</v>
      </c>
      <c r="L24" s="358"/>
    </row>
    <row r="25" spans="1:12" ht="15" x14ac:dyDescent="0.25">
      <c r="A25" s="802" t="s">
        <v>158</v>
      </c>
      <c r="B25" s="803"/>
      <c r="C25" s="803"/>
      <c r="D25" s="353"/>
      <c r="E25" s="357"/>
      <c r="F25" s="353"/>
      <c r="G25" s="358">
        <v>6</v>
      </c>
      <c r="H25" s="357"/>
      <c r="I25" s="394"/>
      <c r="J25" s="394"/>
      <c r="K25" s="358">
        <v>6</v>
      </c>
      <c r="L25" s="358"/>
    </row>
    <row r="26" spans="1:12" ht="15" x14ac:dyDescent="0.25">
      <c r="A26" s="342"/>
      <c r="B26" s="353"/>
      <c r="C26" s="353"/>
      <c r="D26" s="353"/>
      <c r="E26" s="357"/>
      <c r="F26" s="353"/>
      <c r="G26" s="353"/>
      <c r="H26" s="357"/>
      <c r="I26" s="394"/>
      <c r="J26" s="394"/>
      <c r="K26" s="353"/>
      <c r="L26" s="353"/>
    </row>
    <row r="27" spans="1:12" ht="13.5" thickBot="1" x14ac:dyDescent="0.25">
      <c r="A27" s="804" t="s">
        <v>145</v>
      </c>
      <c r="B27" s="805"/>
      <c r="C27" s="354"/>
      <c r="D27" s="354"/>
      <c r="E27" s="359"/>
      <c r="F27" s="354"/>
      <c r="G27" s="360">
        <v>9</v>
      </c>
      <c r="H27" s="359"/>
      <c r="I27" s="354"/>
      <c r="J27" s="354"/>
      <c r="K27" s="360">
        <v>9</v>
      </c>
      <c r="L27" s="396"/>
    </row>
    <row r="28" spans="1:12" ht="15" x14ac:dyDescent="0.25">
      <c r="A28" s="344" t="s">
        <v>197</v>
      </c>
      <c r="B28" s="353"/>
      <c r="C28" s="353"/>
      <c r="D28" s="353"/>
      <c r="E28" s="353"/>
      <c r="F28" s="353"/>
      <c r="G28" s="353"/>
      <c r="H28" s="353"/>
      <c r="I28" s="353"/>
      <c r="J28" s="353"/>
      <c r="K28" s="353"/>
      <c r="L28" s="353"/>
    </row>
    <row r="29" spans="1:12" ht="63.75" customHeight="1" x14ac:dyDescent="0.2">
      <c r="A29" s="794" t="s">
        <v>196</v>
      </c>
      <c r="B29" s="806"/>
      <c r="C29" s="806"/>
      <c r="D29" s="806"/>
      <c r="E29" s="806"/>
      <c r="F29" s="806"/>
      <c r="G29" s="806"/>
      <c r="H29" s="806"/>
      <c r="I29" s="806"/>
      <c r="J29" s="806"/>
      <c r="K29" s="806"/>
      <c r="L29" s="397"/>
    </row>
    <row r="30" spans="1:12" ht="15" x14ac:dyDescent="0.25">
      <c r="A30" s="342"/>
      <c r="B30" s="353"/>
      <c r="C30" s="353"/>
      <c r="D30" s="353"/>
      <c r="E30" s="353"/>
      <c r="F30" s="353"/>
      <c r="G30" s="353"/>
      <c r="H30" s="353"/>
      <c r="I30" s="353"/>
      <c r="J30" s="353"/>
      <c r="K30" s="353"/>
      <c r="L30" s="353"/>
    </row>
    <row r="31" spans="1:12" ht="15" x14ac:dyDescent="0.25">
      <c r="A31" s="342"/>
      <c r="B31" s="353"/>
      <c r="C31" s="353"/>
      <c r="D31" s="353"/>
      <c r="E31" s="353"/>
      <c r="F31" s="353"/>
      <c r="G31" s="353"/>
      <c r="H31" s="353"/>
      <c r="I31" s="353"/>
      <c r="J31" s="353"/>
      <c r="K31" s="353"/>
      <c r="L31" s="353"/>
    </row>
    <row r="32" spans="1:12" ht="38.25" customHeight="1" x14ac:dyDescent="0.2">
      <c r="A32" s="794" t="s">
        <v>310</v>
      </c>
      <c r="B32" s="806"/>
      <c r="C32" s="806"/>
      <c r="D32" s="806"/>
      <c r="E32" s="806"/>
      <c r="F32" s="806"/>
      <c r="G32" s="806"/>
      <c r="H32" s="806"/>
      <c r="I32" s="806"/>
      <c r="J32" s="806"/>
      <c r="K32" s="806"/>
      <c r="L32" s="397"/>
    </row>
    <row r="33" spans="2:12" x14ac:dyDescent="0.2">
      <c r="B33" s="174"/>
      <c r="C33" s="174"/>
      <c r="D33" s="174"/>
      <c r="E33" s="174"/>
      <c r="F33" s="174"/>
      <c r="G33" s="174"/>
      <c r="H33" s="174"/>
      <c r="I33" s="174"/>
      <c r="J33" s="174"/>
      <c r="K33" s="174"/>
      <c r="L33" s="174"/>
    </row>
    <row r="34" spans="2:12" x14ac:dyDescent="0.2">
      <c r="B34" s="174"/>
      <c r="C34" s="174"/>
      <c r="D34" s="174"/>
      <c r="E34" s="174"/>
      <c r="F34" s="174"/>
      <c r="G34" s="174"/>
      <c r="H34" s="174"/>
      <c r="I34" s="174"/>
      <c r="J34" s="174"/>
      <c r="K34" s="174"/>
      <c r="L34" s="174"/>
    </row>
    <row r="35" spans="2:12" x14ac:dyDescent="0.2">
      <c r="B35" s="174"/>
      <c r="C35" s="174"/>
      <c r="D35" s="174"/>
      <c r="E35" s="174"/>
      <c r="F35" s="174"/>
      <c r="G35" s="174"/>
      <c r="H35" s="174"/>
      <c r="I35" s="174"/>
      <c r="J35" s="174"/>
      <c r="K35" s="174"/>
      <c r="L35" s="174"/>
    </row>
    <row r="36" spans="2:12" x14ac:dyDescent="0.2">
      <c r="B36" s="174"/>
      <c r="C36" s="174"/>
      <c r="D36" s="174"/>
      <c r="E36" s="174"/>
      <c r="F36" s="174"/>
      <c r="G36" s="174"/>
      <c r="H36" s="174"/>
      <c r="I36" s="174"/>
      <c r="J36" s="174"/>
      <c r="K36" s="174"/>
      <c r="L36" s="174"/>
    </row>
    <row r="37" spans="2:12" x14ac:dyDescent="0.2">
      <c r="B37" s="174"/>
      <c r="C37" s="174"/>
      <c r="D37" s="174"/>
      <c r="E37" s="174"/>
      <c r="F37" s="174"/>
      <c r="G37" s="174"/>
      <c r="H37" s="174"/>
      <c r="I37" s="174"/>
      <c r="J37" s="174"/>
      <c r="K37" s="174"/>
      <c r="L37" s="174"/>
    </row>
    <row r="38" spans="2:12" x14ac:dyDescent="0.2">
      <c r="B38" s="174"/>
      <c r="C38" s="174"/>
      <c r="D38" s="174"/>
      <c r="E38" s="174"/>
      <c r="F38" s="174"/>
      <c r="G38" s="174"/>
      <c r="H38" s="174"/>
      <c r="I38" s="174"/>
      <c r="J38" s="174"/>
      <c r="K38" s="174"/>
      <c r="L38" s="174"/>
    </row>
    <row r="39" spans="2:12" x14ac:dyDescent="0.2">
      <c r="B39" s="174"/>
      <c r="C39" s="174"/>
      <c r="D39" s="174"/>
      <c r="E39" s="174"/>
      <c r="F39" s="174"/>
      <c r="G39" s="174"/>
      <c r="H39" s="174"/>
      <c r="I39" s="174"/>
      <c r="J39" s="174"/>
      <c r="K39" s="174"/>
      <c r="L39" s="174"/>
    </row>
    <row r="40" spans="2:12" x14ac:dyDescent="0.2">
      <c r="B40" s="174"/>
      <c r="C40" s="174"/>
      <c r="D40" s="174"/>
      <c r="E40" s="174"/>
      <c r="F40" s="174"/>
      <c r="G40" s="174"/>
      <c r="H40" s="174"/>
      <c r="I40" s="174"/>
      <c r="J40" s="174"/>
      <c r="K40" s="174"/>
      <c r="L40" s="174"/>
    </row>
    <row r="41" spans="2:12" x14ac:dyDescent="0.2">
      <c r="B41" s="174"/>
      <c r="C41" s="174"/>
      <c r="D41" s="174"/>
      <c r="E41" s="174"/>
      <c r="F41" s="174"/>
      <c r="G41" s="174"/>
      <c r="H41" s="174"/>
      <c r="I41" s="174"/>
      <c r="J41" s="174"/>
      <c r="K41" s="174"/>
      <c r="L41" s="174"/>
    </row>
    <row r="42" spans="2:12" x14ac:dyDescent="0.2">
      <c r="B42" s="174"/>
      <c r="C42" s="174"/>
      <c r="D42" s="174"/>
      <c r="E42" s="174"/>
      <c r="F42" s="174"/>
      <c r="G42" s="174"/>
      <c r="H42" s="174"/>
      <c r="I42" s="174"/>
      <c r="J42" s="174"/>
      <c r="K42" s="174"/>
      <c r="L42" s="174"/>
    </row>
    <row r="43" spans="2:12" x14ac:dyDescent="0.2">
      <c r="B43" s="174"/>
      <c r="C43" s="174"/>
      <c r="D43" s="174"/>
      <c r="E43" s="174"/>
      <c r="F43" s="174"/>
      <c r="G43" s="174"/>
      <c r="H43" s="174"/>
      <c r="I43" s="174"/>
      <c r="J43" s="174"/>
      <c r="K43" s="174"/>
      <c r="L43" s="174"/>
    </row>
    <row r="44" spans="2:12" x14ac:dyDescent="0.2">
      <c r="B44" s="174"/>
      <c r="C44" s="174"/>
      <c r="D44" s="174"/>
      <c r="E44" s="174"/>
      <c r="F44" s="174"/>
      <c r="G44" s="174"/>
      <c r="H44" s="174"/>
      <c r="I44" s="174"/>
      <c r="J44" s="174"/>
      <c r="K44" s="174"/>
      <c r="L44" s="174"/>
    </row>
    <row r="45" spans="2:12" x14ac:dyDescent="0.2">
      <c r="B45" s="174"/>
      <c r="C45" s="174"/>
      <c r="D45" s="174"/>
      <c r="E45" s="174"/>
      <c r="F45" s="174"/>
      <c r="G45" s="174"/>
      <c r="H45" s="174"/>
      <c r="I45" s="174"/>
      <c r="J45" s="174"/>
      <c r="K45" s="174"/>
      <c r="L45" s="174"/>
    </row>
    <row r="46" spans="2:12" x14ac:dyDescent="0.2">
      <c r="B46" s="174"/>
      <c r="C46" s="174"/>
      <c r="D46" s="174"/>
      <c r="E46" s="174"/>
      <c r="F46" s="174"/>
      <c r="G46" s="174"/>
      <c r="H46" s="174"/>
      <c r="I46" s="174"/>
      <c r="J46" s="174"/>
      <c r="K46" s="174"/>
      <c r="L46" s="174"/>
    </row>
    <row r="47" spans="2:12" x14ac:dyDescent="0.2">
      <c r="B47" s="174"/>
      <c r="C47" s="174"/>
      <c r="D47" s="174"/>
      <c r="E47" s="174"/>
      <c r="F47" s="174"/>
      <c r="G47" s="174"/>
      <c r="H47" s="174"/>
      <c r="I47" s="174"/>
      <c r="J47" s="174"/>
      <c r="K47" s="174"/>
      <c r="L47" s="174"/>
    </row>
    <row r="48" spans="2:12" x14ac:dyDescent="0.2">
      <c r="B48" s="174"/>
      <c r="C48" s="174"/>
      <c r="D48" s="174"/>
      <c r="E48" s="174"/>
      <c r="F48" s="174"/>
      <c r="G48" s="174"/>
      <c r="H48" s="174"/>
      <c r="I48" s="174"/>
      <c r="J48" s="174"/>
      <c r="K48" s="174"/>
      <c r="L48" s="174"/>
    </row>
    <row r="49" spans="2:12" x14ac:dyDescent="0.2">
      <c r="B49" s="174"/>
      <c r="C49" s="174"/>
      <c r="D49" s="174"/>
      <c r="E49" s="174"/>
      <c r="F49" s="174"/>
      <c r="G49" s="174"/>
      <c r="H49" s="174"/>
      <c r="I49" s="174"/>
      <c r="J49" s="174"/>
      <c r="K49" s="174"/>
      <c r="L49" s="174"/>
    </row>
    <row r="50" spans="2:12" x14ac:dyDescent="0.2">
      <c r="B50" s="174"/>
      <c r="C50" s="174"/>
      <c r="D50" s="174"/>
      <c r="E50" s="174"/>
      <c r="F50" s="174"/>
      <c r="G50" s="174"/>
      <c r="H50" s="174"/>
      <c r="I50" s="174"/>
      <c r="J50" s="174"/>
      <c r="K50" s="174"/>
      <c r="L50" s="174"/>
    </row>
    <row r="51" spans="2:12" x14ac:dyDescent="0.2">
      <c r="B51" s="174"/>
      <c r="C51" s="174"/>
      <c r="D51" s="174"/>
      <c r="E51" s="174"/>
      <c r="F51" s="174"/>
      <c r="G51" s="174"/>
      <c r="H51" s="174"/>
      <c r="I51" s="174"/>
      <c r="J51" s="174"/>
      <c r="K51" s="174"/>
      <c r="L51" s="174"/>
    </row>
    <row r="52" spans="2:12" x14ac:dyDescent="0.2">
      <c r="B52" s="174"/>
      <c r="C52" s="174"/>
      <c r="D52" s="174"/>
      <c r="E52" s="174"/>
      <c r="F52" s="174"/>
      <c r="G52" s="174"/>
      <c r="H52" s="174"/>
      <c r="I52" s="174"/>
      <c r="J52" s="174"/>
      <c r="K52" s="174"/>
      <c r="L52" s="174"/>
    </row>
    <row r="53" spans="2:12" x14ac:dyDescent="0.2">
      <c r="B53" s="174"/>
      <c r="C53" s="174"/>
      <c r="D53" s="174"/>
      <c r="E53" s="174"/>
      <c r="F53" s="174"/>
      <c r="G53" s="174"/>
      <c r="H53" s="174"/>
      <c r="I53" s="174"/>
      <c r="J53" s="174"/>
      <c r="K53" s="174"/>
      <c r="L53" s="174"/>
    </row>
    <row r="54" spans="2:12" x14ac:dyDescent="0.2">
      <c r="B54" s="174"/>
      <c r="C54" s="174"/>
      <c r="D54" s="174"/>
      <c r="E54" s="174"/>
      <c r="F54" s="174"/>
      <c r="G54" s="174"/>
      <c r="H54" s="174"/>
      <c r="I54" s="174"/>
      <c r="J54" s="174"/>
      <c r="K54" s="174"/>
      <c r="L54" s="174"/>
    </row>
    <row r="55" spans="2:12" x14ac:dyDescent="0.2">
      <c r="B55" s="174"/>
      <c r="C55" s="174"/>
      <c r="D55" s="174"/>
      <c r="E55" s="174"/>
      <c r="F55" s="174"/>
      <c r="G55" s="174"/>
      <c r="H55" s="174"/>
      <c r="I55" s="174"/>
      <c r="J55" s="174"/>
      <c r="K55" s="174"/>
      <c r="L55" s="174"/>
    </row>
    <row r="56" spans="2:12" x14ac:dyDescent="0.2">
      <c r="B56" s="178"/>
      <c r="C56" s="174"/>
      <c r="D56" s="174"/>
      <c r="E56" s="174"/>
      <c r="F56" s="174"/>
      <c r="G56" s="174"/>
      <c r="H56" s="174"/>
      <c r="I56" s="174"/>
      <c r="J56" s="174"/>
      <c r="K56" s="174"/>
      <c r="L56" s="174"/>
    </row>
    <row r="57" spans="2:12" x14ac:dyDescent="0.2">
      <c r="B57" s="174"/>
      <c r="C57" s="174"/>
      <c r="D57" s="174"/>
      <c r="E57" s="174"/>
      <c r="F57" s="174"/>
      <c r="G57" s="174"/>
      <c r="H57" s="174"/>
      <c r="I57" s="174"/>
      <c r="J57" s="174"/>
      <c r="K57" s="174"/>
      <c r="L57" s="174"/>
    </row>
    <row r="58" spans="2:12" x14ac:dyDescent="0.2">
      <c r="B58" s="174"/>
      <c r="C58" s="174"/>
      <c r="D58" s="174"/>
      <c r="E58" s="174"/>
      <c r="F58" s="174"/>
      <c r="G58" s="174"/>
      <c r="H58" s="174"/>
      <c r="I58" s="174"/>
      <c r="J58" s="174"/>
      <c r="K58" s="174"/>
      <c r="L58" s="174"/>
    </row>
    <row r="59" spans="2:12" x14ac:dyDescent="0.2">
      <c r="B59" s="174"/>
      <c r="C59" s="174"/>
      <c r="D59" s="174"/>
      <c r="E59" s="174"/>
      <c r="F59" s="174"/>
      <c r="G59" s="174"/>
      <c r="H59" s="174"/>
      <c r="I59" s="174"/>
      <c r="J59" s="174"/>
      <c r="K59" s="174"/>
      <c r="L59" s="174"/>
    </row>
    <row r="60" spans="2:12" x14ac:dyDescent="0.2">
      <c r="B60" s="174"/>
      <c r="C60" s="174"/>
      <c r="D60" s="174"/>
      <c r="E60" s="174"/>
      <c r="F60" s="174"/>
      <c r="G60" s="174"/>
      <c r="H60" s="174"/>
      <c r="I60" s="174"/>
      <c r="J60" s="174"/>
      <c r="K60" s="174"/>
      <c r="L60" s="174"/>
    </row>
  </sheetData>
  <mergeCells count="21">
    <mergeCell ref="A18:C18"/>
    <mergeCell ref="A27:B27"/>
    <mergeCell ref="A29:K29"/>
    <mergeCell ref="A32:K32"/>
    <mergeCell ref="A19:C19"/>
    <mergeCell ref="A20:B20"/>
    <mergeCell ref="A22:C22"/>
    <mergeCell ref="A23:C23"/>
    <mergeCell ref="A24:C24"/>
    <mergeCell ref="A25:C25"/>
    <mergeCell ref="A12:B12"/>
    <mergeCell ref="A13:B13"/>
    <mergeCell ref="A14:B14"/>
    <mergeCell ref="A15:B15"/>
    <mergeCell ref="A17:B17"/>
    <mergeCell ref="A2:K2"/>
    <mergeCell ref="A4:K4"/>
    <mergeCell ref="A6:K6"/>
    <mergeCell ref="A8:K8"/>
    <mergeCell ref="A11:C11"/>
    <mergeCell ref="E11:G11"/>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19</vt:i4>
      </vt:variant>
    </vt:vector>
  </HeadingPairs>
  <TitlesOfParts>
    <vt:vector size="45" baseType="lpstr">
      <vt:lpstr>.0</vt:lpstr>
      <vt:lpstr>Notes</vt:lpstr>
      <vt:lpstr>3.01a</vt:lpstr>
      <vt:lpstr>3.01b</vt:lpstr>
      <vt:lpstr>3.01c</vt:lpstr>
      <vt:lpstr>3.02a</vt:lpstr>
      <vt:lpstr>3.02b</vt:lpstr>
      <vt:lpstr>3.02c</vt:lpstr>
      <vt:lpstr>3.02d</vt:lpstr>
      <vt:lpstr>3.03</vt:lpstr>
      <vt:lpstr>3.04</vt:lpstr>
      <vt:lpstr>.03a</vt:lpstr>
      <vt:lpstr>.03c</vt:lpstr>
      <vt:lpstr>Rec Exp work(.05)</vt:lpstr>
      <vt:lpstr>3.06a</vt:lpstr>
      <vt:lpstr>.04rold</vt:lpstr>
      <vt:lpstr>3.06b</vt:lpstr>
      <vt:lpstr>.05rc</vt:lpstr>
      <vt:lpstr>3.05</vt:lpstr>
      <vt:lpstr>3.06</vt:lpstr>
      <vt:lpstr>3.07</vt:lpstr>
      <vt:lpstr>.08c&amp;d</vt:lpstr>
      <vt:lpstr>3.07a</vt:lpstr>
      <vt:lpstr>3.07b</vt:lpstr>
      <vt:lpstr>Sheet1</vt:lpstr>
      <vt:lpstr>Sheet2</vt:lpstr>
      <vt:lpstr>'.0'!Print_Area</vt:lpstr>
      <vt:lpstr>'.04rold'!Print_Area</vt:lpstr>
      <vt:lpstr>'.05rc'!Print_Area</vt:lpstr>
      <vt:lpstr>'.08c&amp;d'!Print_Area</vt:lpstr>
      <vt:lpstr>'3.01a'!Print_Area</vt:lpstr>
      <vt:lpstr>'3.01b'!Print_Area</vt:lpstr>
      <vt:lpstr>'3.01c'!Print_Area</vt:lpstr>
      <vt:lpstr>'3.02a'!Print_Area</vt:lpstr>
      <vt:lpstr>'3.02b'!Print_Area</vt:lpstr>
      <vt:lpstr>'3.02c'!Print_Area</vt:lpstr>
      <vt:lpstr>'3.03'!Print_Area</vt:lpstr>
      <vt:lpstr>'3.04'!Print_Area</vt:lpstr>
      <vt:lpstr>'3.05'!Print_Area</vt:lpstr>
      <vt:lpstr>'3.06'!Print_Area</vt:lpstr>
      <vt:lpstr>'3.06a'!Print_Area</vt:lpstr>
      <vt:lpstr>'3.06b'!Print_Area</vt:lpstr>
      <vt:lpstr>'3.07'!Print_Area</vt:lpstr>
      <vt:lpstr>Notes!Print_Area</vt:lpstr>
      <vt:lpstr>'Rec Exp work(.05)'!Print_Area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Compendium of Statistics</dc:title>
  <dc:subject>Education &amp; Culture</dc:subject>
  <dc:creator>Economics &amp; Statistics Office</dc:creator>
  <cp:lastModifiedBy>Ebanks, Narnia</cp:lastModifiedBy>
  <cp:lastPrinted>2018-01-30T19:32:56Z</cp:lastPrinted>
  <dcterms:created xsi:type="dcterms:W3CDTF">2009-04-08T18:56:19Z</dcterms:created>
  <dcterms:modified xsi:type="dcterms:W3CDTF">2020-09-24T12:58:12Z</dcterms:modified>
</cp:coreProperties>
</file>