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drawings/drawing9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10.xml" ContentType="application/vnd.openxmlformats-officedocument.drawing+xml"/>
  <Override PartName="/xl/embeddings/oleObject12.bin" ContentType="application/vnd.openxmlformats-officedocument.oleObject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embeddings/oleObject13.bin" ContentType="application/vnd.openxmlformats-officedocument.oleObject"/>
  <Override PartName="/xl/drawings/drawing12.xml" ContentType="application/vnd.openxmlformats-officedocument.drawing+xml"/>
  <Override PartName="/xl/embeddings/oleObject14.bin" ContentType="application/vnd.openxmlformats-officedocument.oleObject"/>
  <Override PartName="/xl/drawings/drawing13.xml" ContentType="application/vnd.openxmlformats-officedocument.drawing+xml"/>
  <Override PartName="/xl/embeddings/oleObject15.bin" ContentType="application/vnd.openxmlformats-officedocument.oleObject"/>
  <Override PartName="/xl/drawings/drawing14.xml" ContentType="application/vnd.openxmlformats-officedocument.drawing+xml"/>
  <Override PartName="/xl/embeddings/oleObject16.bin" ContentType="application/vnd.openxmlformats-officedocument.oleObject"/>
  <Override PartName="/xl/drawings/drawing15.xml" ContentType="application/vnd.openxmlformats-officedocument.drawing+xml"/>
  <Override PartName="/xl/embeddings/oleObject17.bin" ContentType="application/vnd.openxmlformats-officedocument.oleObject"/>
  <Override PartName="/xl/drawings/drawing16.xml" ContentType="application/vnd.openxmlformats-officedocument.drawing+xml"/>
  <Override PartName="/xl/embeddings/oleObject18.bin" ContentType="application/vnd.openxmlformats-officedocument.oleObject"/>
  <Override PartName="/xl/drawings/drawing17.xml" ContentType="application/vnd.openxmlformats-officedocument.drawing+xml"/>
  <Override PartName="/xl/embeddings/oleObject19.bin" ContentType="application/vnd.openxmlformats-officedocument.oleObject"/>
  <Override PartName="/xl/drawings/drawing18.xml" ContentType="application/vnd.openxmlformats-officedocument.drawing+xml"/>
  <Override PartName="/xl/embeddings/oleObject20.bin" ContentType="application/vnd.openxmlformats-officedocument.oleObject"/>
  <Override PartName="/xl/drawings/drawing19.xml" ContentType="application/vnd.openxmlformats-officedocument.drawing+xml"/>
  <Override PartName="/xl/embeddings/oleObject21.bin" ContentType="application/vnd.openxmlformats-officedocument.oleObject"/>
  <Override PartName="/xl/drawings/drawing20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-30" windowWidth="13755" windowHeight="12840"/>
  </bookViews>
  <sheets>
    <sheet name="3.01a" sheetId="27" r:id="rId1"/>
    <sheet name="3.01b" sheetId="31" r:id="rId2"/>
    <sheet name="3.01c" sheetId="36" r:id="rId3"/>
    <sheet name="3.02a" sheetId="30" r:id="rId4"/>
    <sheet name="3.02b" sheetId="29" r:id="rId5"/>
    <sheet name="3.02c" sheetId="37" r:id="rId6"/>
    <sheet name="3.02d" sheetId="44" r:id="rId7"/>
    <sheet name="3.03" sheetId="3" r:id="rId8"/>
    <sheet name="3.04" sheetId="28" r:id="rId9"/>
    <sheet name=".03a" sheetId="5" state="hidden" r:id="rId10"/>
    <sheet name=".03c" sheetId="6" state="hidden" r:id="rId11"/>
    <sheet name="Rec Exp work(.05)" sheetId="19" state="hidden" r:id="rId12"/>
    <sheet name="3.06a" sheetId="22" state="hidden" r:id="rId13"/>
    <sheet name=".04rold" sheetId="7" state="hidden" r:id="rId14"/>
    <sheet name="3.06b" sheetId="8" state="hidden" r:id="rId15"/>
    <sheet name=".05rc" sheetId="10" state="hidden" r:id="rId16"/>
    <sheet name="3.05" sheetId="40" r:id="rId17"/>
    <sheet name="3.06" sheetId="13" r:id="rId18"/>
    <sheet name="3.07" sheetId="26" state="hidden" r:id="rId19"/>
    <sheet name=".08c&amp;d" sheetId="39" state="hidden" r:id="rId20"/>
    <sheet name="3.07a" sheetId="42" r:id="rId21"/>
    <sheet name="3.07b" sheetId="43" r:id="rId22"/>
    <sheet name="3.07c" sheetId="45" r:id="rId23"/>
  </sheets>
  <definedNames>
    <definedName name="_xlnm.Print_Area" localSheetId="13">'.04rold'!$A$1:$O$79</definedName>
    <definedName name="_xlnm.Print_Area" localSheetId="15">'.05rc'!$A$1:$Y$55</definedName>
    <definedName name="_xlnm.Print_Area" localSheetId="19">'.08c&amp;d'!$A$1:$X$52</definedName>
    <definedName name="_xlnm.Print_Area" localSheetId="0">'3.01a'!$A$2:$K$69</definedName>
    <definedName name="_xlnm.Print_Area" localSheetId="1">'3.01b'!$A$1:$I$71</definedName>
    <definedName name="_xlnm.Print_Area" localSheetId="2">'3.01c'!$A$1:$M$43</definedName>
    <definedName name="_xlnm.Print_Area" localSheetId="3">'3.02a'!$A$1:$Q$87</definedName>
    <definedName name="_xlnm.Print_Area" localSheetId="4">'3.02b'!$A$1:$N$68</definedName>
    <definedName name="_xlnm.Print_Area" localSheetId="5">'3.02c'!$A$1:$P$60</definedName>
    <definedName name="_xlnm.Print_Area" localSheetId="7">'3.03'!$A$1:$K$69</definedName>
    <definedName name="_xlnm.Print_Area" localSheetId="8">'3.04'!$A$1:$N$65</definedName>
    <definedName name="_xlnm.Print_Area" localSheetId="16">'3.05'!$A$1:$L$58</definedName>
    <definedName name="_xlnm.Print_Area" localSheetId="17">'3.06'!$A$1:$L$66</definedName>
    <definedName name="_xlnm.Print_Area" localSheetId="12">'3.06a'!$A$1:$M$69</definedName>
    <definedName name="_xlnm.Print_Area" localSheetId="14">'3.06b'!$A$2:$Y$64</definedName>
    <definedName name="_xlnm.Print_Area" localSheetId="18">'3.07'!$A$1:$V$39</definedName>
    <definedName name="_xlnm.Print_Area" localSheetId="11">'Rec Exp work(.05)'!$A$2:$Y$72</definedName>
  </definedNames>
  <calcPr calcId="145621"/>
</workbook>
</file>

<file path=xl/calcChain.xml><?xml version="1.0" encoding="utf-8"?>
<calcChain xmlns="http://schemas.openxmlformats.org/spreadsheetml/2006/main">
  <c r="G15" i="45" l="1"/>
  <c r="E15" i="45"/>
  <c r="D15" i="45"/>
  <c r="J40" i="27" l="1"/>
  <c r="H40" i="27"/>
  <c r="G40" i="27"/>
  <c r="F40" i="27"/>
  <c r="E40" i="27"/>
  <c r="D40" i="27"/>
  <c r="F30" i="27"/>
  <c r="I20" i="27"/>
  <c r="J20" i="27"/>
  <c r="I28" i="43" l="1"/>
  <c r="H28" i="43"/>
  <c r="G28" i="43"/>
  <c r="F28" i="43"/>
  <c r="E28" i="43"/>
  <c r="D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L14" i="42"/>
  <c r="K14" i="42"/>
  <c r="J14" i="42"/>
  <c r="J28" i="43" l="1"/>
  <c r="J14" i="27"/>
  <c r="J35" i="27"/>
  <c r="J30" i="27" s="1"/>
  <c r="J51" i="3"/>
  <c r="J60" i="3"/>
  <c r="J42" i="3"/>
  <c r="J18" i="3"/>
  <c r="J20" i="3"/>
  <c r="J27" i="3"/>
  <c r="J25" i="3"/>
  <c r="J35" i="3"/>
  <c r="J33" i="3"/>
  <c r="J39" i="3"/>
  <c r="J34" i="44"/>
  <c r="J47" i="44"/>
  <c r="I47" i="44"/>
  <c r="I34" i="44"/>
  <c r="H47" i="44"/>
  <c r="H34" i="44"/>
  <c r="G34" i="44"/>
  <c r="G47" i="44"/>
  <c r="F47" i="44"/>
  <c r="F34" i="44"/>
  <c r="E47" i="44"/>
  <c r="E34" i="44"/>
  <c r="D47" i="44"/>
  <c r="D34" i="44"/>
  <c r="K38" i="44"/>
  <c r="K39" i="44"/>
  <c r="K40" i="44"/>
  <c r="K14" i="44" s="1"/>
  <c r="K41" i="44"/>
  <c r="K42" i="44"/>
  <c r="K43" i="44"/>
  <c r="K44" i="44"/>
  <c r="K45" i="44"/>
  <c r="K46" i="44"/>
  <c r="K25" i="44"/>
  <c r="K26" i="44"/>
  <c r="K27" i="44"/>
  <c r="K28" i="44"/>
  <c r="K29" i="44"/>
  <c r="K30" i="44"/>
  <c r="K31" i="44"/>
  <c r="K32" i="44"/>
  <c r="K33" i="44"/>
  <c r="D12" i="44"/>
  <c r="D13" i="44"/>
  <c r="E13" i="44"/>
  <c r="D14" i="44"/>
  <c r="E14" i="44"/>
  <c r="F14" i="44"/>
  <c r="D15" i="44"/>
  <c r="E15" i="44"/>
  <c r="F15" i="44"/>
  <c r="G15" i="44"/>
  <c r="E16" i="44"/>
  <c r="F16" i="44"/>
  <c r="G16" i="44"/>
  <c r="H16" i="44"/>
  <c r="F17" i="44"/>
  <c r="G17" i="44"/>
  <c r="H17" i="44"/>
  <c r="I17" i="44"/>
  <c r="D18" i="44"/>
  <c r="G18" i="44"/>
  <c r="H18" i="44"/>
  <c r="I18" i="44"/>
  <c r="J18" i="44"/>
  <c r="H19" i="44"/>
  <c r="I19" i="44"/>
  <c r="J19" i="44"/>
  <c r="I20" i="44"/>
  <c r="J20" i="44"/>
  <c r="K42" i="37"/>
  <c r="K53" i="37" s="1"/>
  <c r="K43" i="37"/>
  <c r="K44" i="37"/>
  <c r="K45" i="37"/>
  <c r="K46" i="37"/>
  <c r="K47" i="37"/>
  <c r="K48" i="37"/>
  <c r="K49" i="37"/>
  <c r="K50" i="37"/>
  <c r="K27" i="37"/>
  <c r="K28" i="37"/>
  <c r="K29" i="37"/>
  <c r="K30" i="37"/>
  <c r="K15" i="37" s="1"/>
  <c r="K31" i="37"/>
  <c r="K32" i="37"/>
  <c r="K33" i="37"/>
  <c r="K34" i="37"/>
  <c r="K19" i="37" s="1"/>
  <c r="K35" i="37"/>
  <c r="F38" i="37"/>
  <c r="G38" i="37"/>
  <c r="H38" i="37"/>
  <c r="I38" i="37"/>
  <c r="J38" i="37"/>
  <c r="K38" i="37"/>
  <c r="F53" i="37"/>
  <c r="G53" i="37"/>
  <c r="H53" i="37"/>
  <c r="I53" i="37"/>
  <c r="J53" i="37"/>
  <c r="D53" i="37"/>
  <c r="E53" i="37"/>
  <c r="E38" i="37"/>
  <c r="D38" i="37"/>
  <c r="E12" i="37"/>
  <c r="F12" i="37"/>
  <c r="G12" i="37"/>
  <c r="G23" i="37" s="1"/>
  <c r="H12" i="37"/>
  <c r="I12" i="37"/>
  <c r="I23" i="37" s="1"/>
  <c r="J12" i="37"/>
  <c r="K12" i="37"/>
  <c r="E13" i="37"/>
  <c r="F13" i="37"/>
  <c r="G13" i="37"/>
  <c r="H13" i="37"/>
  <c r="I13" i="37"/>
  <c r="J13" i="37"/>
  <c r="K13" i="37"/>
  <c r="E14" i="37"/>
  <c r="F14" i="37"/>
  <c r="G14" i="37"/>
  <c r="H14" i="37"/>
  <c r="I14" i="37"/>
  <c r="J14" i="37"/>
  <c r="K14" i="37"/>
  <c r="E15" i="37"/>
  <c r="F15" i="37"/>
  <c r="G15" i="37"/>
  <c r="H15" i="37"/>
  <c r="I15" i="37"/>
  <c r="J15" i="37"/>
  <c r="E16" i="37"/>
  <c r="F16" i="37"/>
  <c r="G16" i="37"/>
  <c r="H16" i="37"/>
  <c r="I16" i="37"/>
  <c r="J16" i="37"/>
  <c r="K16" i="37"/>
  <c r="E17" i="37"/>
  <c r="F17" i="37"/>
  <c r="G17" i="37"/>
  <c r="H17" i="37"/>
  <c r="I17" i="37"/>
  <c r="J17" i="37"/>
  <c r="K17" i="37"/>
  <c r="E18" i="37"/>
  <c r="F18" i="37"/>
  <c r="G18" i="37"/>
  <c r="H18" i="37"/>
  <c r="I18" i="37"/>
  <c r="J18" i="37"/>
  <c r="K18" i="37"/>
  <c r="E19" i="37"/>
  <c r="F19" i="37"/>
  <c r="G19" i="37"/>
  <c r="H19" i="37"/>
  <c r="I19" i="37"/>
  <c r="J19" i="37"/>
  <c r="E20" i="37"/>
  <c r="F20" i="37"/>
  <c r="G20" i="37"/>
  <c r="H20" i="37"/>
  <c r="I20" i="37"/>
  <c r="J20" i="37"/>
  <c r="K20" i="37"/>
  <c r="E21" i="37"/>
  <c r="F21" i="37"/>
  <c r="G21" i="37"/>
  <c r="H21" i="37"/>
  <c r="I21" i="37"/>
  <c r="J21" i="37"/>
  <c r="K21" i="37"/>
  <c r="E22" i="37"/>
  <c r="F22" i="37"/>
  <c r="G22" i="37"/>
  <c r="H22" i="37"/>
  <c r="I22" i="37"/>
  <c r="J22" i="37"/>
  <c r="K22" i="37"/>
  <c r="D14" i="37"/>
  <c r="D15" i="37"/>
  <c r="D16" i="37"/>
  <c r="D17" i="37"/>
  <c r="D18" i="37"/>
  <c r="D19" i="37"/>
  <c r="D20" i="37"/>
  <c r="D21" i="37"/>
  <c r="D22" i="37"/>
  <c r="D23" i="37"/>
  <c r="D13" i="37"/>
  <c r="D12" i="37"/>
  <c r="G58" i="29"/>
  <c r="G55" i="29" s="1"/>
  <c r="G59" i="29"/>
  <c r="F55" i="29"/>
  <c r="E55" i="29"/>
  <c r="F48" i="29"/>
  <c r="E48" i="29"/>
  <c r="F41" i="29"/>
  <c r="E41" i="29"/>
  <c r="F34" i="29"/>
  <c r="E34" i="29"/>
  <c r="G23" i="29"/>
  <c r="G24" i="29"/>
  <c r="G31" i="29"/>
  <c r="G30" i="29"/>
  <c r="F27" i="29"/>
  <c r="E27" i="29"/>
  <c r="F20" i="29"/>
  <c r="E20" i="29"/>
  <c r="G45" i="29"/>
  <c r="G44" i="29"/>
  <c r="G41" i="29" s="1"/>
  <c r="G52" i="29"/>
  <c r="G51" i="29"/>
  <c r="G48" i="29" s="1"/>
  <c r="G38" i="29"/>
  <c r="G37" i="29"/>
  <c r="G34" i="29" s="1"/>
  <c r="G29" i="29"/>
  <c r="G22" i="29"/>
  <c r="G15" i="29" s="1"/>
  <c r="J23" i="37"/>
  <c r="H23" i="37"/>
  <c r="E23" i="37"/>
  <c r="F23" i="37"/>
  <c r="G56" i="29"/>
  <c r="G49" i="29"/>
  <c r="G42" i="29"/>
  <c r="G35" i="29"/>
  <c r="G28" i="29"/>
  <c r="G21" i="29"/>
  <c r="F14" i="29"/>
  <c r="F15" i="29"/>
  <c r="F16" i="29"/>
  <c r="F13" i="29" s="1"/>
  <c r="F17" i="29"/>
  <c r="E16" i="29"/>
  <c r="E17" i="29"/>
  <c r="E15" i="29"/>
  <c r="E14" i="29"/>
  <c r="G72" i="30"/>
  <c r="H75" i="30"/>
  <c r="G75" i="30"/>
  <c r="I74" i="30"/>
  <c r="I73" i="30"/>
  <c r="H72" i="30"/>
  <c r="I71" i="30"/>
  <c r="I70" i="30"/>
  <c r="I72" i="30" s="1"/>
  <c r="G65" i="30"/>
  <c r="G20" i="36"/>
  <c r="G21" i="36"/>
  <c r="G22" i="36"/>
  <c r="G23" i="36"/>
  <c r="G24" i="36"/>
  <c r="G25" i="36"/>
  <c r="G30" i="36"/>
  <c r="G31" i="36"/>
  <c r="G32" i="36"/>
  <c r="G33" i="36"/>
  <c r="G34" i="36"/>
  <c r="G35" i="36"/>
  <c r="F26" i="36"/>
  <c r="E26" i="36"/>
  <c r="D26" i="36"/>
  <c r="F36" i="36"/>
  <c r="E36" i="36"/>
  <c r="D36" i="36"/>
  <c r="E10" i="36"/>
  <c r="F10" i="36"/>
  <c r="E11" i="36"/>
  <c r="F11" i="36"/>
  <c r="E12" i="36"/>
  <c r="F12" i="36"/>
  <c r="G12" i="36" s="1"/>
  <c r="E13" i="36"/>
  <c r="F13" i="36"/>
  <c r="E14" i="36"/>
  <c r="F14" i="36"/>
  <c r="E15" i="36"/>
  <c r="F15" i="36"/>
  <c r="D12" i="36"/>
  <c r="D13" i="36"/>
  <c r="G13" i="36" s="1"/>
  <c r="D14" i="36"/>
  <c r="D15" i="36"/>
  <c r="G15" i="36" s="1"/>
  <c r="D11" i="36"/>
  <c r="D10" i="36"/>
  <c r="G10" i="36" s="1"/>
  <c r="H61" i="31"/>
  <c r="H53" i="31"/>
  <c r="H45" i="31"/>
  <c r="H37" i="31"/>
  <c r="H29" i="31"/>
  <c r="H14" i="31"/>
  <c r="H15" i="31"/>
  <c r="H17" i="31"/>
  <c r="H18" i="31"/>
  <c r="H19" i="31"/>
  <c r="H21" i="31"/>
  <c r="J45" i="27"/>
  <c r="E13" i="29"/>
  <c r="I14" i="42"/>
  <c r="H14" i="42"/>
  <c r="G14" i="42"/>
  <c r="I60" i="3"/>
  <c r="I54" i="3"/>
  <c r="I51" i="3"/>
  <c r="I42" i="3"/>
  <c r="I40" i="3"/>
  <c r="I39" i="3"/>
  <c r="I35" i="3"/>
  <c r="I33" i="3"/>
  <c r="I27" i="3"/>
  <c r="I25" i="3"/>
  <c r="I20" i="3"/>
  <c r="I18" i="3"/>
  <c r="H68" i="30"/>
  <c r="G68" i="30"/>
  <c r="I67" i="30"/>
  <c r="I66" i="30"/>
  <c r="I68" i="30" s="1"/>
  <c r="H65" i="30"/>
  <c r="I64" i="30"/>
  <c r="I63" i="30"/>
  <c r="H61" i="30"/>
  <c r="G61" i="30"/>
  <c r="I60" i="30"/>
  <c r="I59" i="30"/>
  <c r="I61" i="30" s="1"/>
  <c r="H58" i="30"/>
  <c r="G58" i="30"/>
  <c r="I57" i="30"/>
  <c r="I56" i="30"/>
  <c r="I58" i="30" s="1"/>
  <c r="H54" i="30"/>
  <c r="G54" i="30"/>
  <c r="I53" i="30"/>
  <c r="I52" i="30"/>
  <c r="I54" i="30" s="1"/>
  <c r="H51" i="30"/>
  <c r="G51" i="30"/>
  <c r="I50" i="30"/>
  <c r="I49" i="30"/>
  <c r="H47" i="30"/>
  <c r="G47" i="30"/>
  <c r="I46" i="30"/>
  <c r="I45" i="30"/>
  <c r="I47" i="30" s="1"/>
  <c r="J44" i="30"/>
  <c r="H44" i="30"/>
  <c r="G44" i="30"/>
  <c r="I43" i="30"/>
  <c r="I42" i="30"/>
  <c r="I44" i="30" s="1"/>
  <c r="H40" i="30"/>
  <c r="G40" i="30"/>
  <c r="I39" i="30"/>
  <c r="I38" i="30"/>
  <c r="J37" i="30"/>
  <c r="H37" i="30"/>
  <c r="G37" i="30"/>
  <c r="I36" i="30"/>
  <c r="I35" i="30"/>
  <c r="H33" i="30"/>
  <c r="G33" i="30"/>
  <c r="I32" i="30"/>
  <c r="I33" i="30" s="1"/>
  <c r="I31" i="30"/>
  <c r="H30" i="30"/>
  <c r="G30" i="30"/>
  <c r="I29" i="30"/>
  <c r="I28" i="30"/>
  <c r="I30" i="30"/>
  <c r="H26" i="30"/>
  <c r="G26" i="30"/>
  <c r="F26" i="30"/>
  <c r="I25" i="30"/>
  <c r="I24" i="30"/>
  <c r="I23" i="30"/>
  <c r="I22" i="30"/>
  <c r="I21" i="30"/>
  <c r="H19" i="30"/>
  <c r="G19" i="30"/>
  <c r="F19" i="30"/>
  <c r="I18" i="30"/>
  <c r="I19" i="30" s="1"/>
  <c r="I17" i="30"/>
  <c r="J16" i="30"/>
  <c r="H16" i="30"/>
  <c r="G16" i="30"/>
  <c r="F16" i="30"/>
  <c r="G61" i="31"/>
  <c r="F61" i="31"/>
  <c r="E61" i="31"/>
  <c r="G53" i="31"/>
  <c r="F53" i="31"/>
  <c r="E53" i="31"/>
  <c r="G45" i="31"/>
  <c r="F45" i="31"/>
  <c r="E45" i="31"/>
  <c r="G37" i="31"/>
  <c r="F37" i="31"/>
  <c r="E37" i="31"/>
  <c r="G29" i="31"/>
  <c r="F29" i="31"/>
  <c r="E29" i="31"/>
  <c r="G21" i="31"/>
  <c r="G13" i="31" s="1"/>
  <c r="F21" i="31"/>
  <c r="E21" i="31"/>
  <c r="G19" i="31"/>
  <c r="F19" i="31"/>
  <c r="E19" i="31"/>
  <c r="G18" i="31"/>
  <c r="F18" i="31"/>
  <c r="E18" i="31"/>
  <c r="G17" i="31"/>
  <c r="F17" i="31"/>
  <c r="E17" i="31"/>
  <c r="F16" i="31"/>
  <c r="G15" i="31"/>
  <c r="F15" i="31"/>
  <c r="E15" i="31"/>
  <c r="G14" i="31"/>
  <c r="F14" i="31"/>
  <c r="E14" i="31"/>
  <c r="I45" i="27"/>
  <c r="H45" i="27"/>
  <c r="G45" i="27"/>
  <c r="F45" i="27"/>
  <c r="E45" i="27"/>
  <c r="D45" i="27"/>
  <c r="I30" i="27"/>
  <c r="H30" i="27"/>
  <c r="G30" i="27"/>
  <c r="E30" i="27"/>
  <c r="H20" i="27"/>
  <c r="G20" i="27"/>
  <c r="F20" i="27"/>
  <c r="E20" i="27"/>
  <c r="I14" i="27"/>
  <c r="G14" i="27"/>
  <c r="F14" i="27"/>
  <c r="E14" i="27"/>
  <c r="F14" i="42"/>
  <c r="E14" i="42"/>
  <c r="D14" i="42"/>
  <c r="H60" i="3"/>
  <c r="H51" i="3"/>
  <c r="H42" i="3"/>
  <c r="H40" i="3"/>
  <c r="H39" i="3"/>
  <c r="H35" i="3"/>
  <c r="H33" i="3"/>
  <c r="H27" i="3"/>
  <c r="H25" i="3"/>
  <c r="H20" i="3"/>
  <c r="H18" i="3"/>
  <c r="H39" i="40"/>
  <c r="H31" i="40"/>
  <c r="H21" i="40"/>
  <c r="H17" i="40"/>
  <c r="H13" i="40"/>
  <c r="G40" i="3"/>
  <c r="G60" i="3"/>
  <c r="G54" i="3"/>
  <c r="G42" i="3"/>
  <c r="G39" i="3"/>
  <c r="G35" i="3"/>
  <c r="G33" i="3"/>
  <c r="G27" i="3"/>
  <c r="G25" i="3"/>
  <c r="G20" i="3"/>
  <c r="G18" i="3"/>
  <c r="F54" i="3"/>
  <c r="F42" i="3"/>
  <c r="F35" i="3"/>
  <c r="F27" i="3"/>
  <c r="F20" i="3"/>
  <c r="F60" i="3"/>
  <c r="F40" i="3"/>
  <c r="E40" i="3"/>
  <c r="F33" i="3"/>
  <c r="F25" i="3"/>
  <c r="F18" i="3"/>
  <c r="F39" i="3"/>
  <c r="E45" i="39"/>
  <c r="D18" i="3"/>
  <c r="E18" i="3"/>
  <c r="D25" i="3"/>
  <c r="E25" i="3"/>
  <c r="D33" i="3"/>
  <c r="E33" i="3"/>
  <c r="E39" i="3"/>
  <c r="E41" i="3" s="1"/>
  <c r="E39" i="40"/>
  <c r="E31" i="40"/>
  <c r="E21" i="40"/>
  <c r="E17" i="40"/>
  <c r="E13" i="40"/>
  <c r="H24" i="39"/>
  <c r="G24" i="39"/>
  <c r="F24" i="39"/>
  <c r="E24" i="39"/>
  <c r="J24" i="39"/>
  <c r="D24" i="39"/>
  <c r="I23" i="39"/>
  <c r="H23" i="39"/>
  <c r="G23" i="39"/>
  <c r="F23" i="39"/>
  <c r="E23" i="39"/>
  <c r="D23" i="39"/>
  <c r="J23" i="39"/>
  <c r="I22" i="39"/>
  <c r="H22" i="39"/>
  <c r="G22" i="39"/>
  <c r="F22" i="39"/>
  <c r="E22" i="39"/>
  <c r="D22" i="39"/>
  <c r="J22" i="39"/>
  <c r="I21" i="39"/>
  <c r="H21" i="39"/>
  <c r="F21" i="39"/>
  <c r="E21" i="39"/>
  <c r="J21" i="39"/>
  <c r="D21" i="39"/>
  <c r="I18" i="39"/>
  <c r="H18" i="39"/>
  <c r="G18" i="39"/>
  <c r="F18" i="39"/>
  <c r="E18" i="39"/>
  <c r="J18" i="39"/>
  <c r="D18" i="39"/>
  <c r="I17" i="39"/>
  <c r="H17" i="39"/>
  <c r="G17" i="39"/>
  <c r="F17" i="39"/>
  <c r="E17" i="39"/>
  <c r="D17" i="39"/>
  <c r="J17" i="39"/>
  <c r="I16" i="39"/>
  <c r="H16" i="39"/>
  <c r="G16" i="39"/>
  <c r="F16" i="39"/>
  <c r="E16" i="39"/>
  <c r="D16" i="39"/>
  <c r="J16" i="39"/>
  <c r="I15" i="39"/>
  <c r="H15" i="39"/>
  <c r="G15" i="39"/>
  <c r="F15" i="39"/>
  <c r="E15" i="39"/>
  <c r="J15" i="39"/>
  <c r="D15" i="39"/>
  <c r="I14" i="39"/>
  <c r="E14" i="39"/>
  <c r="D14" i="39"/>
  <c r="I13" i="39"/>
  <c r="H13" i="39"/>
  <c r="G13" i="39"/>
  <c r="F13" i="39"/>
  <c r="E13" i="39"/>
  <c r="D13" i="39"/>
  <c r="J13" i="39"/>
  <c r="I12" i="39"/>
  <c r="H12" i="39"/>
  <c r="G12" i="39"/>
  <c r="F12" i="39"/>
  <c r="E12" i="39"/>
  <c r="J12" i="39"/>
  <c r="D12" i="39"/>
  <c r="I11" i="39"/>
  <c r="I27" i="39"/>
  <c r="I28" i="39"/>
  <c r="H11" i="39"/>
  <c r="G11" i="39"/>
  <c r="G27" i="39"/>
  <c r="G28" i="39"/>
  <c r="F11" i="39"/>
  <c r="F27" i="39"/>
  <c r="F28" i="39"/>
  <c r="E11" i="39"/>
  <c r="D11" i="39"/>
  <c r="D27" i="39"/>
  <c r="G45" i="39"/>
  <c r="D45" i="39"/>
  <c r="E54" i="3"/>
  <c r="E60" i="3"/>
  <c r="L22" i="22"/>
  <c r="W50" i="19"/>
  <c r="X41" i="19"/>
  <c r="W41" i="19"/>
  <c r="W30" i="19"/>
  <c r="W28" i="19"/>
  <c r="W16" i="19"/>
  <c r="W14" i="19"/>
  <c r="K45" i="22"/>
  <c r="K37" i="22"/>
  <c r="K22" i="22"/>
  <c r="K17" i="22"/>
  <c r="K13" i="22"/>
  <c r="W49" i="8"/>
  <c r="W13" i="8"/>
  <c r="M14" i="26"/>
  <c r="L14" i="26"/>
  <c r="J14" i="26"/>
  <c r="X30" i="19"/>
  <c r="X28" i="19"/>
  <c r="I14" i="26"/>
  <c r="G14" i="26"/>
  <c r="V43" i="19"/>
  <c r="L45" i="22"/>
  <c r="J45" i="22"/>
  <c r="J22" i="22"/>
  <c r="F14" i="26"/>
  <c r="A1" i="10"/>
  <c r="O12" i="10"/>
  <c r="P12" i="10"/>
  <c r="Q12" i="10"/>
  <c r="R12" i="10"/>
  <c r="S12" i="10"/>
  <c r="O17" i="10"/>
  <c r="P17" i="10"/>
  <c r="Q17" i="10"/>
  <c r="R17" i="10"/>
  <c r="S17" i="10"/>
  <c r="O19" i="10"/>
  <c r="P19" i="10"/>
  <c r="Q19" i="10"/>
  <c r="R19" i="10"/>
  <c r="S19" i="10"/>
  <c r="O24" i="10"/>
  <c r="P24" i="10"/>
  <c r="Q24" i="10"/>
  <c r="R24" i="10"/>
  <c r="S24" i="10"/>
  <c r="O26" i="10"/>
  <c r="P26" i="10"/>
  <c r="Q26" i="10"/>
  <c r="R26" i="10"/>
  <c r="S26" i="10"/>
  <c r="O31" i="10"/>
  <c r="P31" i="10"/>
  <c r="Q31" i="10"/>
  <c r="R31" i="10"/>
  <c r="S31" i="10"/>
  <c r="O35" i="10"/>
  <c r="P35" i="10"/>
  <c r="Q35" i="10"/>
  <c r="R35" i="10"/>
  <c r="S35" i="10"/>
  <c r="T35" i="10"/>
  <c r="A54" i="10"/>
  <c r="D11" i="8"/>
  <c r="E11" i="8"/>
  <c r="F11" i="8"/>
  <c r="G11" i="8"/>
  <c r="H11" i="8"/>
  <c r="I11" i="8"/>
  <c r="J11" i="8"/>
  <c r="K11" i="8"/>
  <c r="C13" i="8"/>
  <c r="D13" i="8"/>
  <c r="E13" i="8"/>
  <c r="F13" i="8"/>
  <c r="G13" i="8"/>
  <c r="H13" i="8"/>
  <c r="J13" i="8"/>
  <c r="K13" i="8"/>
  <c r="L13" i="8"/>
  <c r="M13" i="8"/>
  <c r="N13" i="8"/>
  <c r="O13" i="8"/>
  <c r="P13" i="8"/>
  <c r="Q13" i="8"/>
  <c r="R13" i="8"/>
  <c r="T13" i="8"/>
  <c r="U13" i="8"/>
  <c r="V13" i="8"/>
  <c r="C30" i="8"/>
  <c r="D30" i="8"/>
  <c r="E30" i="8"/>
  <c r="F30" i="8"/>
  <c r="G30" i="8"/>
  <c r="H30" i="8"/>
  <c r="L30" i="8"/>
  <c r="M30" i="8"/>
  <c r="N30" i="8"/>
  <c r="O30" i="8"/>
  <c r="P30" i="8"/>
  <c r="R30" i="8"/>
  <c r="T30" i="8"/>
  <c r="U30" i="8"/>
  <c r="V30" i="8"/>
  <c r="U36" i="8"/>
  <c r="V36" i="8"/>
  <c r="U40" i="8"/>
  <c r="V40" i="8"/>
  <c r="J49" i="8"/>
  <c r="K49" i="8"/>
  <c r="L49" i="8"/>
  <c r="M49" i="8"/>
  <c r="N49" i="8"/>
  <c r="O49" i="8"/>
  <c r="P49" i="8"/>
  <c r="Q49" i="8"/>
  <c r="R49" i="8"/>
  <c r="T49" i="8"/>
  <c r="U49" i="8"/>
  <c r="V49" i="8"/>
  <c r="E30" i="7"/>
  <c r="F30" i="7"/>
  <c r="G30" i="7"/>
  <c r="H30" i="7"/>
  <c r="I30" i="7"/>
  <c r="E33" i="7"/>
  <c r="H33" i="7"/>
  <c r="I33" i="7"/>
  <c r="J33" i="7"/>
  <c r="K33" i="7"/>
  <c r="L33" i="7"/>
  <c r="M33" i="7"/>
  <c r="N33" i="7"/>
  <c r="O33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C13" i="22"/>
  <c r="D13" i="22"/>
  <c r="E13" i="22"/>
  <c r="F13" i="22"/>
  <c r="G13" i="22"/>
  <c r="H13" i="22"/>
  <c r="R49" i="22"/>
  <c r="J13" i="22"/>
  <c r="L13" i="22"/>
  <c r="C17" i="22"/>
  <c r="N49" i="22"/>
  <c r="D17" i="22"/>
  <c r="E17" i="22"/>
  <c r="F17" i="22"/>
  <c r="G17" i="22"/>
  <c r="H17" i="22"/>
  <c r="J17" i="22"/>
  <c r="L17" i="22"/>
  <c r="C22" i="22"/>
  <c r="D22" i="22"/>
  <c r="E22" i="22"/>
  <c r="F22" i="22"/>
  <c r="G22" i="22"/>
  <c r="H22" i="22"/>
  <c r="C37" i="22"/>
  <c r="D37" i="22"/>
  <c r="E37" i="22"/>
  <c r="F37" i="22"/>
  <c r="G37" i="22"/>
  <c r="H37" i="22"/>
  <c r="J37" i="22"/>
  <c r="L37" i="22"/>
  <c r="H45" i="22"/>
  <c r="I11" i="19"/>
  <c r="J11" i="19"/>
  <c r="K11" i="19"/>
  <c r="L11" i="19"/>
  <c r="I14" i="19"/>
  <c r="I79" i="19"/>
  <c r="J14" i="19"/>
  <c r="K14" i="19"/>
  <c r="K79" i="19"/>
  <c r="L14" i="19"/>
  <c r="H15" i="19"/>
  <c r="N15" i="19"/>
  <c r="O15" i="19"/>
  <c r="Q15" i="19"/>
  <c r="R15" i="19"/>
  <c r="R14" i="19"/>
  <c r="S15" i="19"/>
  <c r="T15" i="19"/>
  <c r="AC15" i="19"/>
  <c r="F16" i="19"/>
  <c r="F14" i="19"/>
  <c r="F79" i="19"/>
  <c r="G16" i="19"/>
  <c r="G14" i="19"/>
  <c r="X16" i="19"/>
  <c r="X14" i="19"/>
  <c r="D17" i="19"/>
  <c r="D16" i="19"/>
  <c r="D14" i="19"/>
  <c r="D79" i="19"/>
  <c r="E17" i="19"/>
  <c r="E16" i="19"/>
  <c r="E14" i="19"/>
  <c r="E79" i="19"/>
  <c r="H17" i="19"/>
  <c r="H16" i="19"/>
  <c r="S17" i="19"/>
  <c r="T17" i="19"/>
  <c r="U17" i="19"/>
  <c r="V17" i="19"/>
  <c r="V16" i="19"/>
  <c r="V14" i="19"/>
  <c r="H18" i="19"/>
  <c r="M18" i="19"/>
  <c r="M16" i="19"/>
  <c r="N18" i="19"/>
  <c r="O18" i="19"/>
  <c r="P18" i="19"/>
  <c r="P16" i="19"/>
  <c r="R18" i="19"/>
  <c r="S18" i="19"/>
  <c r="T18" i="19"/>
  <c r="U18" i="19"/>
  <c r="V18" i="19"/>
  <c r="N19" i="19"/>
  <c r="O19" i="19"/>
  <c r="P19" i="19"/>
  <c r="S19" i="19"/>
  <c r="T19" i="19"/>
  <c r="U19" i="19"/>
  <c r="V19" i="19"/>
  <c r="N23" i="19"/>
  <c r="O23" i="19"/>
  <c r="O16" i="19"/>
  <c r="O14" i="19"/>
  <c r="O79" i="19"/>
  <c r="P23" i="19"/>
  <c r="Q23" i="19"/>
  <c r="R23" i="19"/>
  <c r="R16" i="19"/>
  <c r="S23" i="19"/>
  <c r="T23" i="19"/>
  <c r="U23" i="19"/>
  <c r="V23" i="19"/>
  <c r="M24" i="19"/>
  <c r="N24" i="19"/>
  <c r="O24" i="19"/>
  <c r="S24" i="19"/>
  <c r="T24" i="19"/>
  <c r="T16" i="19"/>
  <c r="U24" i="19"/>
  <c r="M25" i="19"/>
  <c r="N25" i="19"/>
  <c r="O25" i="19"/>
  <c r="P25" i="19"/>
  <c r="S25" i="19"/>
  <c r="S16" i="19"/>
  <c r="S14" i="19"/>
  <c r="U25" i="19"/>
  <c r="V25" i="19"/>
  <c r="N26" i="19"/>
  <c r="O26" i="19"/>
  <c r="P26" i="19"/>
  <c r="Q26" i="19"/>
  <c r="Q16" i="19"/>
  <c r="R26" i="19"/>
  <c r="S26" i="19"/>
  <c r="T26" i="19"/>
  <c r="U26" i="19"/>
  <c r="V26" i="19"/>
  <c r="D29" i="19"/>
  <c r="D28" i="19"/>
  <c r="D81" i="19"/>
  <c r="E29" i="19"/>
  <c r="F29" i="19"/>
  <c r="G29" i="19"/>
  <c r="H29" i="19"/>
  <c r="I29" i="19"/>
  <c r="J29" i="19"/>
  <c r="K29" i="19"/>
  <c r="M29" i="19"/>
  <c r="N29" i="19"/>
  <c r="O29" i="19"/>
  <c r="O28" i="19"/>
  <c r="O81" i="19"/>
  <c r="Q29" i="19"/>
  <c r="Q28" i="19"/>
  <c r="R29" i="19"/>
  <c r="R28" i="19"/>
  <c r="S29" i="19"/>
  <c r="T29" i="19"/>
  <c r="D30" i="19"/>
  <c r="E30" i="19"/>
  <c r="E28" i="19"/>
  <c r="I30" i="19"/>
  <c r="J30" i="19"/>
  <c r="K30" i="19"/>
  <c r="L30" i="19"/>
  <c r="L28" i="19"/>
  <c r="L81" i="19"/>
  <c r="G31" i="19"/>
  <c r="H31" i="19"/>
  <c r="S31" i="19"/>
  <c r="T31" i="19"/>
  <c r="U31" i="19"/>
  <c r="V31" i="19"/>
  <c r="G32" i="19"/>
  <c r="H32" i="19"/>
  <c r="H30" i="19"/>
  <c r="H28" i="19"/>
  <c r="H81" i="19"/>
  <c r="M32" i="19"/>
  <c r="N32" i="19"/>
  <c r="O32" i="19"/>
  <c r="O30" i="19"/>
  <c r="P32" i="19"/>
  <c r="R32" i="19"/>
  <c r="S32" i="19"/>
  <c r="T32" i="19"/>
  <c r="U32" i="19"/>
  <c r="U30" i="19"/>
  <c r="U28" i="19"/>
  <c r="V32" i="19"/>
  <c r="M33" i="19"/>
  <c r="M30" i="19"/>
  <c r="M28" i="19"/>
  <c r="M81" i="19"/>
  <c r="N33" i="19"/>
  <c r="N30" i="19"/>
  <c r="O33" i="19"/>
  <c r="P33" i="19"/>
  <c r="P30" i="19"/>
  <c r="P28" i="19"/>
  <c r="S33" i="19"/>
  <c r="T33" i="19"/>
  <c r="V33" i="19"/>
  <c r="U33" i="19"/>
  <c r="F30" i="19"/>
  <c r="F28" i="19"/>
  <c r="D39" i="19"/>
  <c r="D83" i="19"/>
  <c r="E39" i="19"/>
  <c r="F39" i="19"/>
  <c r="G39" i="19"/>
  <c r="H39" i="19"/>
  <c r="M39" i="19"/>
  <c r="N39" i="19"/>
  <c r="O39" i="19"/>
  <c r="Q39" i="19"/>
  <c r="R39" i="19"/>
  <c r="S39" i="19"/>
  <c r="T39" i="19"/>
  <c r="D41" i="19"/>
  <c r="E41" i="19"/>
  <c r="F41" i="19"/>
  <c r="F83" i="19"/>
  <c r="I41" i="19"/>
  <c r="I83" i="19"/>
  <c r="J41" i="19"/>
  <c r="J83" i="19"/>
  <c r="K41" i="19"/>
  <c r="K83" i="19"/>
  <c r="L41" i="19"/>
  <c r="L83" i="19"/>
  <c r="V41" i="19"/>
  <c r="G42" i="19"/>
  <c r="H42" i="19"/>
  <c r="H41" i="19"/>
  <c r="H83" i="19"/>
  <c r="M42" i="19"/>
  <c r="M41" i="19"/>
  <c r="N42" i="19"/>
  <c r="O42" i="19"/>
  <c r="G43" i="19"/>
  <c r="G41" i="19"/>
  <c r="G83" i="19"/>
  <c r="H43" i="19"/>
  <c r="M43" i="19"/>
  <c r="N43" i="19"/>
  <c r="N41" i="19"/>
  <c r="N83" i="19"/>
  <c r="O43" i="19"/>
  <c r="O41" i="19"/>
  <c r="P43" i="19"/>
  <c r="Q43" i="19"/>
  <c r="Q41" i="19"/>
  <c r="R43" i="19"/>
  <c r="R41" i="19"/>
  <c r="S43" i="19"/>
  <c r="S41" i="19"/>
  <c r="T43" i="19"/>
  <c r="T41" i="19"/>
  <c r="U43" i="19"/>
  <c r="U41" i="19"/>
  <c r="P44" i="19"/>
  <c r="P41" i="19"/>
  <c r="D52" i="19"/>
  <c r="D50" i="19"/>
  <c r="D77" i="19"/>
  <c r="E52" i="19"/>
  <c r="F52" i="19"/>
  <c r="G52" i="19"/>
  <c r="G50" i="19"/>
  <c r="G77" i="19"/>
  <c r="H52" i="19"/>
  <c r="H50" i="19"/>
  <c r="M52" i="19"/>
  <c r="N52" i="19"/>
  <c r="O52" i="19"/>
  <c r="Q52" i="19"/>
  <c r="R52" i="19"/>
  <c r="R50" i="19"/>
  <c r="S52" i="19"/>
  <c r="T52" i="19"/>
  <c r="T50" i="19"/>
  <c r="D54" i="19"/>
  <c r="E54" i="19"/>
  <c r="F54" i="19"/>
  <c r="G54" i="19"/>
  <c r="H54" i="19"/>
  <c r="M54" i="19"/>
  <c r="M50" i="19"/>
  <c r="M77" i="19"/>
  <c r="N54" i="19"/>
  <c r="O54" i="19"/>
  <c r="Q54" i="19"/>
  <c r="Q50" i="19"/>
  <c r="R54" i="19"/>
  <c r="S54" i="19"/>
  <c r="T54" i="19"/>
  <c r="I50" i="19"/>
  <c r="I77" i="19"/>
  <c r="J50" i="19"/>
  <c r="J77" i="19"/>
  <c r="K50" i="19"/>
  <c r="K77" i="19"/>
  <c r="V50" i="19"/>
  <c r="I75" i="19"/>
  <c r="J75" i="19"/>
  <c r="K75" i="19"/>
  <c r="J79" i="19"/>
  <c r="L79" i="19"/>
  <c r="D60" i="3"/>
  <c r="A1" i="5"/>
  <c r="A69" i="22"/>
  <c r="A64" i="8"/>
  <c r="G30" i="19"/>
  <c r="L77" i="19"/>
  <c r="N50" i="19"/>
  <c r="N77" i="19"/>
  <c r="H77" i="19"/>
  <c r="E83" i="19"/>
  <c r="J28" i="19"/>
  <c r="J81" i="19"/>
  <c r="M14" i="19"/>
  <c r="M79" i="19"/>
  <c r="P49" i="22"/>
  <c r="L85" i="19"/>
  <c r="Q49" i="22"/>
  <c r="Q50" i="22"/>
  <c r="J11" i="39"/>
  <c r="S50" i="19"/>
  <c r="E50" i="19"/>
  <c r="E77" i="19"/>
  <c r="V30" i="19"/>
  <c r="V28" i="19"/>
  <c r="K28" i="19"/>
  <c r="K81" i="19"/>
  <c r="I28" i="19"/>
  <c r="I81" i="19"/>
  <c r="I85" i="19"/>
  <c r="O50" i="19"/>
  <c r="O77" i="19"/>
  <c r="O83" i="19"/>
  <c r="S30" i="19"/>
  <c r="S28" i="19"/>
  <c r="E81" i="19"/>
  <c r="G79" i="19"/>
  <c r="F81" i="19"/>
  <c r="T30" i="19"/>
  <c r="T28" i="19"/>
  <c r="J85" i="19"/>
  <c r="F50" i="19"/>
  <c r="F77" i="19"/>
  <c r="M83" i="19"/>
  <c r="U16" i="19"/>
  <c r="U14" i="19"/>
  <c r="T14" i="19"/>
  <c r="H14" i="19"/>
  <c r="H79" i="19"/>
  <c r="D28" i="39"/>
  <c r="J14" i="39"/>
  <c r="N28" i="19"/>
  <c r="N81" i="19"/>
  <c r="G28" i="19"/>
  <c r="G81" i="19"/>
  <c r="N16" i="19"/>
  <c r="N14" i="19"/>
  <c r="N79" i="19"/>
  <c r="E27" i="39"/>
  <c r="H27" i="39"/>
  <c r="H28" i="39"/>
  <c r="K85" i="19"/>
  <c r="O49" i="22"/>
  <c r="O50" i="22"/>
  <c r="R50" i="22"/>
  <c r="P50" i="22"/>
  <c r="E28" i="39"/>
  <c r="J27" i="39"/>
  <c r="J28" i="39"/>
  <c r="D29" i="39"/>
  <c r="F43" i="3"/>
  <c r="I41" i="3"/>
  <c r="H43" i="3" l="1"/>
  <c r="J43" i="3"/>
  <c r="I43" i="3"/>
  <c r="G43" i="3"/>
  <c r="F41" i="3"/>
  <c r="K17" i="44"/>
  <c r="K13" i="44"/>
  <c r="K16" i="44"/>
  <c r="K47" i="44"/>
  <c r="J21" i="44"/>
  <c r="E21" i="44"/>
  <c r="G21" i="44"/>
  <c r="I21" i="44"/>
  <c r="D21" i="44"/>
  <c r="F21" i="44"/>
  <c r="H21" i="44"/>
  <c r="K20" i="44"/>
  <c r="K19" i="44"/>
  <c r="K34" i="44"/>
  <c r="K12" i="44"/>
  <c r="K15" i="44"/>
  <c r="K18" i="44"/>
  <c r="K23" i="37"/>
  <c r="G27" i="29"/>
  <c r="G17" i="29"/>
  <c r="G14" i="29"/>
  <c r="G16" i="29"/>
  <c r="G20" i="29"/>
  <c r="I16" i="30"/>
  <c r="I65" i="30"/>
  <c r="I51" i="30"/>
  <c r="I40" i="30"/>
  <c r="I75" i="30"/>
  <c r="I26" i="30"/>
  <c r="I37" i="30"/>
  <c r="E16" i="36"/>
  <c r="G36" i="36"/>
  <c r="G26" i="36"/>
  <c r="D16" i="36"/>
  <c r="G11" i="36"/>
  <c r="F16" i="36"/>
  <c r="G14" i="36"/>
  <c r="H13" i="31"/>
  <c r="E13" i="31"/>
  <c r="F13" i="31"/>
  <c r="K21" i="44" l="1"/>
  <c r="G13" i="29"/>
  <c r="G16" i="36"/>
</calcChain>
</file>

<file path=xl/comments1.xml><?xml version="1.0" encoding="utf-8"?>
<comments xmlns="http://schemas.openxmlformats.org/spreadsheetml/2006/main">
  <authors>
    <author>theodore_eu</author>
  </authors>
  <commentList>
    <comment ref="R16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16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24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Questionnaire. The figure also represents Primary &amp; High School</t>
        </r>
      </text>
    </comment>
    <comment ref="S26" authorId="0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</t>
        </r>
      </text>
    </comment>
  </commentList>
</comments>
</file>

<file path=xl/sharedStrings.xml><?xml version="1.0" encoding="utf-8"?>
<sst xmlns="http://schemas.openxmlformats.org/spreadsheetml/2006/main" count="1238" uniqueCount="353">
  <si>
    <t xml:space="preserve"> </t>
  </si>
  <si>
    <t>Primary</t>
  </si>
  <si>
    <t>Secondary</t>
  </si>
  <si>
    <t>TOTAL</t>
  </si>
  <si>
    <t>Government</t>
  </si>
  <si>
    <t>Private</t>
  </si>
  <si>
    <t>All Schools</t>
  </si>
  <si>
    <t>Males</t>
  </si>
  <si>
    <t>Females</t>
  </si>
  <si>
    <t>SOURCE:  Education Department, Cayman Islands Government</t>
  </si>
  <si>
    <t>Students</t>
  </si>
  <si>
    <t>Teachers</t>
  </si>
  <si>
    <t>PRIVATE SCHOOLS</t>
  </si>
  <si>
    <t>(all year groups)</t>
  </si>
  <si>
    <t>Special Education</t>
  </si>
  <si>
    <t>Lighthouse School</t>
  </si>
  <si>
    <t>Grand Cayman</t>
  </si>
  <si>
    <t>Enrollment</t>
  </si>
  <si>
    <t>Cayman Brac</t>
  </si>
  <si>
    <t>Notes</t>
  </si>
  <si>
    <t>Tertiary Institutions</t>
  </si>
  <si>
    <t>Community College of The Cayman Islands</t>
  </si>
  <si>
    <t>International College of The Cayman Islands</t>
  </si>
  <si>
    <t>Cayman Islands Law School</t>
  </si>
  <si>
    <t>Total</t>
  </si>
  <si>
    <t>Male</t>
  </si>
  <si>
    <t>Female</t>
  </si>
  <si>
    <t>School Staff</t>
  </si>
  <si>
    <t>1996 (SSR)</t>
  </si>
  <si>
    <t>Recurrent</t>
  </si>
  <si>
    <t>Expenditure</t>
  </si>
  <si>
    <t>2.03c</t>
  </si>
  <si>
    <t>The International College of The Cayman Islands</t>
  </si>
  <si>
    <t xml:space="preserve">Males </t>
  </si>
  <si>
    <t>Associates Degree</t>
  </si>
  <si>
    <t>Business Studies</t>
  </si>
  <si>
    <t>Hospitality</t>
  </si>
  <si>
    <t>B.S.c.</t>
  </si>
  <si>
    <t>Other</t>
  </si>
  <si>
    <t>Masters</t>
  </si>
  <si>
    <t>MBA</t>
  </si>
  <si>
    <t>Science</t>
  </si>
  <si>
    <t>Full-time Certificate/Diploma courses</t>
  </si>
  <si>
    <t>Technology</t>
  </si>
  <si>
    <t>General Studies Department</t>
  </si>
  <si>
    <t>A-Levels</t>
  </si>
  <si>
    <t>Full-time</t>
  </si>
  <si>
    <t>Part-time</t>
  </si>
  <si>
    <t>Professional Development</t>
  </si>
  <si>
    <t>Accounting (AAT)</t>
  </si>
  <si>
    <t>Banking</t>
  </si>
  <si>
    <t>Insurance</t>
  </si>
  <si>
    <t>Administrative and Secretarial Practice</t>
  </si>
  <si>
    <t>Evening classes taken</t>
  </si>
  <si>
    <t>GCSE Repeaters (Full-time)</t>
  </si>
  <si>
    <t>…</t>
  </si>
  <si>
    <t>Caymanian</t>
  </si>
  <si>
    <t>Non-Caymanian</t>
  </si>
  <si>
    <t>Graduates</t>
  </si>
  <si>
    <t>Honours Degree</t>
  </si>
  <si>
    <t>Diploma Programme</t>
  </si>
  <si>
    <t>Professional Practice</t>
  </si>
  <si>
    <t>Total Staff</t>
  </si>
  <si>
    <t>Examination Results</t>
  </si>
  <si>
    <t>GCE A-Level</t>
  </si>
  <si>
    <t>Entries</t>
  </si>
  <si>
    <t>Passes</t>
  </si>
  <si>
    <t>(Percent)</t>
  </si>
  <si>
    <t>GCE OA and O Level</t>
  </si>
  <si>
    <t>Higher level Passes</t>
  </si>
  <si>
    <t>All Passes</t>
  </si>
  <si>
    <t>GCSE/CXC General &amp; Technical</t>
  </si>
  <si>
    <t>CE/CSE/CXC Basic</t>
  </si>
  <si>
    <t>All Exams</t>
  </si>
  <si>
    <t>All higher level passes</t>
  </si>
  <si>
    <t>All passes</t>
  </si>
  <si>
    <t>All Cayman Islands High Schools</t>
  </si>
  <si>
    <t>There was no graduating class in 1995, examinations were taken by repeat students only.</t>
  </si>
  <si>
    <t>-</t>
  </si>
  <si>
    <t>Wesleyan</t>
  </si>
  <si>
    <t>Truth for Youth</t>
  </si>
  <si>
    <t>Triple C</t>
  </si>
  <si>
    <t>First Baptist</t>
  </si>
  <si>
    <t>I.C.C.I.</t>
  </si>
  <si>
    <t>Law School</t>
  </si>
  <si>
    <t>Humanities</t>
  </si>
  <si>
    <t>Education</t>
  </si>
  <si>
    <t>Social &amp; Business Studies</t>
  </si>
  <si>
    <t>Professional</t>
  </si>
  <si>
    <t>Engineering, Technology &amp; Science</t>
  </si>
  <si>
    <t>Medicine &amp; Veterinary Studies</t>
  </si>
  <si>
    <t>All Students</t>
  </si>
  <si>
    <t>New scholarships granted in year</t>
  </si>
  <si>
    <t>Adult</t>
  </si>
  <si>
    <t>St. Ignatius</t>
  </si>
  <si>
    <t>Cayman Academy</t>
  </si>
  <si>
    <t xml:space="preserve">Applied Management Practice </t>
  </si>
  <si>
    <r>
      <t>A+ Computer Technician</t>
    </r>
    <r>
      <rPr>
        <vertAlign val="superscript"/>
        <sz val="10"/>
        <rFont val="Arial"/>
        <family val="2"/>
      </rPr>
      <t xml:space="preserve"> </t>
    </r>
  </si>
  <si>
    <t>Extension Services</t>
  </si>
  <si>
    <t>Source:  Community College of the Cayman Islands</t>
  </si>
  <si>
    <t>General Student</t>
  </si>
  <si>
    <t xml:space="preserve">Enrolment </t>
  </si>
  <si>
    <t>Microsoft Certified System Administrator</t>
  </si>
  <si>
    <t>2.04a</t>
  </si>
  <si>
    <t xml:space="preserve">Network </t>
  </si>
  <si>
    <t xml:space="preserve">Security </t>
  </si>
  <si>
    <t>Renamed University College of the Cayman Islands in 2005.</t>
  </si>
  <si>
    <t>Due to low enrolment and insufficient funds this course was not offered in 1999 - 2002.</t>
  </si>
  <si>
    <t>..</t>
  </si>
  <si>
    <t xml:space="preserve"> - </t>
  </si>
  <si>
    <t xml:space="preserve">. . </t>
  </si>
  <si>
    <t>STATISTICAL COMPENDIUM 2007</t>
  </si>
  <si>
    <t>. .</t>
  </si>
  <si>
    <t>.  .</t>
  </si>
  <si>
    <t>Cayman Prep &amp; High School</t>
  </si>
  <si>
    <t xml:space="preserve">MCSE Microsoft Certified Comp. Engineer </t>
  </si>
  <si>
    <r>
      <t>Nursing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</si>
  <si>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Colleges</t>
  </si>
  <si>
    <t>Note:</t>
  </si>
  <si>
    <t>Notes:</t>
  </si>
  <si>
    <t>Associate Degree</t>
  </si>
  <si>
    <t>Accounting Technician</t>
  </si>
  <si>
    <t>Computer Technician</t>
  </si>
  <si>
    <t xml:space="preserve">Computer Application </t>
  </si>
  <si>
    <t>Electro-Technolgy</t>
  </si>
  <si>
    <t>Certificate in Management Practice</t>
  </si>
  <si>
    <t>Cayman Banking Certificate</t>
  </si>
  <si>
    <t>Legal Secretarial Programme</t>
  </si>
  <si>
    <t>Certificate in Offshore Administration</t>
  </si>
  <si>
    <t>Academic Programme</t>
  </si>
  <si>
    <t>Bachelors Degree</t>
  </si>
  <si>
    <t>Full Time</t>
  </si>
  <si>
    <t>Part Time</t>
  </si>
  <si>
    <t>Construction Technology</t>
  </si>
  <si>
    <t xml:space="preserve">Financial Services Certificate </t>
  </si>
  <si>
    <t>Professional Programme - all students are part time</t>
  </si>
  <si>
    <r>
      <t>Enrollment in Tertiary Institutions: Community College of the Cayman Islands,</t>
    </r>
    <r>
      <rPr>
        <vertAlign val="superscript"/>
        <sz val="12"/>
        <rFont val="Arial"/>
        <family val="2"/>
      </rPr>
      <t>1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1991 -  2003</t>
    </r>
  </si>
  <si>
    <t>of which:</t>
  </si>
  <si>
    <t>Percentage Chance</t>
  </si>
  <si>
    <t>(CI$000)</t>
  </si>
  <si>
    <t>0</t>
  </si>
  <si>
    <t>Diploma</t>
  </si>
  <si>
    <t>Professional Computer Courses</t>
  </si>
  <si>
    <t xml:space="preserve">. .  </t>
  </si>
  <si>
    <t xml:space="preserve">Executive </t>
  </si>
  <si>
    <t>Enrolment</t>
  </si>
  <si>
    <t>The Executive programme was introduced in 2008.</t>
  </si>
  <si>
    <t>External</t>
  </si>
  <si>
    <t>Ordinary Degree</t>
  </si>
  <si>
    <t>Staff</t>
  </si>
  <si>
    <t>Bachelors</t>
  </si>
  <si>
    <t>admission criteria.</t>
  </si>
  <si>
    <t xml:space="preserve">Certificate Programme - all students are full time. During 2007 admission was unusally  high due to lowering of the </t>
  </si>
  <si>
    <t>UCCI</t>
  </si>
  <si>
    <t>George Town</t>
  </si>
  <si>
    <t>West Bay</t>
  </si>
  <si>
    <t>Bodden Town</t>
  </si>
  <si>
    <t>North Side</t>
  </si>
  <si>
    <t>East End</t>
  </si>
  <si>
    <t>Circulation Statistics</t>
  </si>
  <si>
    <t>Check Ins</t>
  </si>
  <si>
    <t>Check Outs</t>
  </si>
  <si>
    <r>
      <t>Certificate Programme</t>
    </r>
    <r>
      <rPr>
        <b/>
        <vertAlign val="superscript"/>
        <sz val="10"/>
        <rFont val="Arial"/>
        <family val="2"/>
      </rPr>
      <t>1</t>
    </r>
  </si>
  <si>
    <r>
      <t>Professional Programme</t>
    </r>
    <r>
      <rPr>
        <b/>
        <vertAlign val="superscript"/>
        <sz val="10"/>
        <rFont val="Arial"/>
        <family val="2"/>
      </rPr>
      <t>2</t>
    </r>
  </si>
  <si>
    <r>
      <t>Executive Programme</t>
    </r>
    <r>
      <rPr>
        <b/>
        <vertAlign val="superscript"/>
        <sz val="10"/>
        <rFont val="Arial"/>
        <family val="2"/>
      </rPr>
      <t>3</t>
    </r>
  </si>
  <si>
    <r>
      <t>Continuing Education</t>
    </r>
    <r>
      <rPr>
        <b/>
        <vertAlign val="superscript"/>
        <sz val="10"/>
        <rFont val="Arial"/>
        <family val="2"/>
      </rPr>
      <t>4</t>
    </r>
  </si>
  <si>
    <t>STR</t>
  </si>
  <si>
    <t>Course:</t>
  </si>
  <si>
    <t>Status:</t>
  </si>
  <si>
    <t>Sex:</t>
  </si>
  <si>
    <t>Continuing education includes leisure courses with no matriculation requirements and do not lead to a degree, only for leisure or vocational purposes.</t>
  </si>
  <si>
    <t>Leisure courses which were  part of the continuing programme were discontinued.</t>
  </si>
  <si>
    <t>STATISTICAL COMPENDIUM 2011</t>
  </si>
  <si>
    <t xml:space="preserve">Note: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</si>
  <si>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</si>
  <si>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Law School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</si>
  <si>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University College of the Cayman Islands</t>
    </r>
  </si>
  <si>
    <t>Special Education All Levels</t>
  </si>
  <si>
    <t>Circulation refers to the number of books used</t>
  </si>
  <si>
    <t>2011*</t>
  </si>
  <si>
    <t>Teacher's Aide</t>
  </si>
  <si>
    <t>* 2011 data are only for Jan-May 2011</t>
  </si>
  <si>
    <r>
      <t>Number of Settings Delivering Early Childhood Care and Education (ECCE)</t>
    </r>
    <r>
      <rPr>
        <b/>
        <vertAlign val="superscript"/>
        <sz val="10"/>
        <rFont val="Arial"/>
        <family val="2"/>
      </rPr>
      <t>1</t>
    </r>
  </si>
  <si>
    <t>ECCE Private Centres</t>
  </si>
  <si>
    <t>ECCE Settings in Private schools</t>
  </si>
  <si>
    <t>ECCE Settings in Public schools</t>
  </si>
  <si>
    <t>Starting in 2011 there was a change in the classifications of Pre-school and Day-Care centres to more accurately reflect the services they provided. As a consequence there was an increase in Pre-school/Day care Centres</t>
  </si>
  <si>
    <t>Source: Department of Education Services</t>
  </si>
  <si>
    <t>School -based Specialist Teachers</t>
  </si>
  <si>
    <t>Support Specialists</t>
  </si>
  <si>
    <t>National Results</t>
  </si>
  <si>
    <t>Percentage Cohort Performance at Attainment Thresholds</t>
  </si>
  <si>
    <t>%7+ Level 2 Passes</t>
  </si>
  <si>
    <t>%5+ Level 2 Passes</t>
  </si>
  <si>
    <t>%5+ Level 1 Passes</t>
  </si>
  <si>
    <t>%1+ Level 1 Pass</t>
  </si>
  <si>
    <t>%Level 2 English</t>
  </si>
  <si>
    <t>%Level 2 Mathematics</t>
  </si>
  <si>
    <t>District</t>
  </si>
  <si>
    <t>All Districts</t>
  </si>
  <si>
    <t>Sister Islands</t>
  </si>
  <si>
    <r>
      <t>Recept.</t>
    </r>
    <r>
      <rPr>
        <b/>
        <vertAlign val="superscript"/>
        <sz val="10"/>
        <rFont val="Arial"/>
        <family val="2"/>
      </rPr>
      <t>1</t>
    </r>
  </si>
  <si>
    <t>Schools</t>
  </si>
  <si>
    <t>1. Schools may cater for both Primary and Secondary age students so the number for 'Total schools' may not equal the sum of Primary and Secondary Schools</t>
  </si>
  <si>
    <t>%5+ Level 2 (including English and Math)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</si>
  <si>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Education, schools and colleges</t>
    </r>
  </si>
  <si>
    <t>3.02a</t>
  </si>
  <si>
    <t>STATISTICAL COMPENDIUM 2012</t>
  </si>
  <si>
    <t>3.02b</t>
  </si>
  <si>
    <t>3.06a</t>
  </si>
  <si>
    <t>3.06b</t>
  </si>
  <si>
    <t>Enrolment in Tertiary Institutions: The Cayman Islands Law School, 2007 - 2012</t>
  </si>
  <si>
    <t>Enrolment in Tertiary Institutions: University College of the Cayman Islands, 2007 - 2012</t>
  </si>
  <si>
    <t>Recurrent Expenditures on Education by Type of School, 2007 -  2012</t>
  </si>
  <si>
    <t>Grand Cayman Government High Schools (John Gray/Clifton Hunter)</t>
  </si>
  <si>
    <t>Cayman Brac High Schools (Layman Scott High School)</t>
  </si>
  <si>
    <t>Hope</t>
  </si>
  <si>
    <t>Cayman International School</t>
  </si>
  <si>
    <t>Grace Christian Academy</t>
  </si>
  <si>
    <t>CIFEC</t>
  </si>
  <si>
    <r>
      <t>Secondary</t>
    </r>
    <r>
      <rPr>
        <b/>
        <vertAlign val="superscript"/>
        <sz val="10"/>
        <rFont val="Arial"/>
        <family val="2"/>
      </rPr>
      <t>2</t>
    </r>
  </si>
  <si>
    <t>2. There are no Secondary Schools in the districts of East End and Bodden Town</t>
  </si>
  <si>
    <t>Includes middle school numbers</t>
  </si>
  <si>
    <t>All results are expressed as a percentage of the total cohort size and not just those students entered for the exam</t>
  </si>
  <si>
    <t>Ratio (F:M)</t>
  </si>
  <si>
    <t>3.01b</t>
  </si>
  <si>
    <t>Total ECCE Settings</t>
  </si>
  <si>
    <t xml:space="preserve">Age </t>
  </si>
  <si>
    <t>3 years</t>
  </si>
  <si>
    <t>4 years</t>
  </si>
  <si>
    <t>3.01a</t>
  </si>
  <si>
    <t>&gt;4 years</t>
  </si>
  <si>
    <t>2 years</t>
  </si>
  <si>
    <t>1 years</t>
  </si>
  <si>
    <t>&lt;1 years</t>
  </si>
  <si>
    <t>ECCE in Govt Schools</t>
  </si>
  <si>
    <t>ECCE in Private Schools</t>
  </si>
  <si>
    <t>ECCE Centres</t>
  </si>
  <si>
    <t>Cayman Islands Total</t>
  </si>
  <si>
    <t>3.01c</t>
  </si>
  <si>
    <r>
      <t>Secondary</t>
    </r>
    <r>
      <rPr>
        <b/>
        <vertAlign val="superscript"/>
        <sz val="10"/>
        <color indexed="8"/>
        <rFont val="Arial"/>
        <family val="2"/>
      </rPr>
      <t>2</t>
    </r>
  </si>
  <si>
    <r>
      <t>Total schools</t>
    </r>
    <r>
      <rPr>
        <vertAlign val="superscript"/>
        <sz val="10"/>
        <color indexed="8"/>
        <rFont val="Arial"/>
        <family val="2"/>
      </rPr>
      <t>1</t>
    </r>
  </si>
  <si>
    <r>
      <t>Cohort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Size</t>
    </r>
  </si>
  <si>
    <t>Age</t>
  </si>
  <si>
    <t>Year 7</t>
  </si>
  <si>
    <t>Year 8</t>
  </si>
  <si>
    <t>Year 9</t>
  </si>
  <si>
    <t>Year 10</t>
  </si>
  <si>
    <t>Year 11</t>
  </si>
  <si>
    <t>Year 12</t>
  </si>
  <si>
    <t>Year 13</t>
  </si>
  <si>
    <t>As of September</t>
  </si>
  <si>
    <t>In house Use</t>
  </si>
  <si>
    <t>Library Card  Holders</t>
  </si>
  <si>
    <t>Library</t>
  </si>
  <si>
    <t>CYA</t>
  </si>
  <si>
    <t>Members</t>
  </si>
  <si>
    <t>Adult Resident Library Card Holders</t>
  </si>
  <si>
    <t>Adult Non Resident Library Card Holders</t>
  </si>
  <si>
    <t>CYA Resident Library Card Holders</t>
  </si>
  <si>
    <t>CYA Non Resident Library Card Holders</t>
  </si>
  <si>
    <t>Institutional Card Holders</t>
  </si>
  <si>
    <t>Senior Resident Card Holders</t>
  </si>
  <si>
    <t>Homebound Resident Library Card Holders</t>
  </si>
  <si>
    <t>Total Card Holders</t>
  </si>
  <si>
    <t xml:space="preserve">Total Library Use Per Hour </t>
  </si>
  <si>
    <t xml:space="preserve">Library  </t>
  </si>
  <si>
    <t>Total/Hour</t>
  </si>
  <si>
    <t>10:00 - 11:00 AM</t>
  </si>
  <si>
    <t>11:00 - 12:00 PM</t>
  </si>
  <si>
    <t>12:00 - 1:00 PM</t>
  </si>
  <si>
    <t>1:00 - 2:00 PM</t>
  </si>
  <si>
    <t>2:00 -3:00 PM</t>
  </si>
  <si>
    <t>3:00 - 4:00 PM</t>
  </si>
  <si>
    <t>4:00 - 5:00 PM</t>
  </si>
  <si>
    <t>5:00 - 6:00 PM</t>
  </si>
  <si>
    <t>Saturday</t>
  </si>
  <si>
    <t>c</t>
  </si>
  <si>
    <t>Total Use by Branch</t>
  </si>
  <si>
    <t>Total Use Per Week</t>
  </si>
  <si>
    <t>Total Library Use 2012</t>
  </si>
  <si>
    <t>Library Visitors 2012</t>
  </si>
  <si>
    <t>IMI Auto Mechanics</t>
  </si>
  <si>
    <r>
      <t xml:space="preserve">Source: </t>
    </r>
    <r>
      <rPr>
        <sz val="10"/>
        <rFont val="Arial"/>
        <family val="2"/>
      </rPr>
      <t>Department of Education Services</t>
    </r>
  </si>
  <si>
    <t>From 2011, reception students included in Table 3.01a Early Childhood Care and 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</si>
  <si>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Department of Education Services &amp; Private Schools</t>
    </r>
  </si>
  <si>
    <t>Cohort refers to all students that were on roll on 1st January of that examination year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</si>
  <si>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</t>
    </r>
  </si>
  <si>
    <r>
      <t xml:space="preserve">Source: </t>
    </r>
    <r>
      <rPr>
        <sz val="10"/>
        <rFont val="Arial"/>
        <family val="2"/>
      </rPr>
      <t>Scholarship Secratariat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</si>
  <si>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</si>
  <si>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 &amp; Private Centres delivering Early Childhood Care &amp; Education</t>
    </r>
  </si>
  <si>
    <t>Average No. of Entries for Students</t>
  </si>
  <si>
    <t>3.07a</t>
  </si>
  <si>
    <t>3.07b</t>
  </si>
  <si>
    <t>3.07c</t>
  </si>
  <si>
    <t>Library Card Holders and Members</t>
  </si>
  <si>
    <t>STATISTICAL COMPENDIUM 2013</t>
  </si>
  <si>
    <t>Circulation Statistics of the Public Libraries, 2010 - 2013</t>
  </si>
  <si>
    <t>Grade 6</t>
  </si>
  <si>
    <t>Teachers (Head Count)</t>
  </si>
  <si>
    <t>Teachers (Full Time Equivalent (FTE))</t>
  </si>
  <si>
    <t>STR (Head Count)</t>
  </si>
  <si>
    <t>STR (FTE)</t>
  </si>
  <si>
    <t>SEN Students per Special Education Specialist</t>
  </si>
  <si>
    <t>Government School Special Educational Needs (SEN)</t>
  </si>
  <si>
    <t>Student Teacher Ratio (STR) (Head Count)</t>
  </si>
  <si>
    <t>Note: Schools following the UK system have year groups from Year 1 to Year 6 whereas in schools following the US system the equivalent year groups are Kindergarten (K) and Grade 1 to Grade 6.</t>
  </si>
  <si>
    <t>Grade 1/ Year 2</t>
  </si>
  <si>
    <t>Grade 2/ Year 3</t>
  </si>
  <si>
    <t>Grade 3/ Year 4</t>
  </si>
  <si>
    <t>Grade 4/ Year 5</t>
  </si>
  <si>
    <t>Grade 5/ Year 6</t>
  </si>
  <si>
    <t>K'garten/ Year 1</t>
  </si>
  <si>
    <r>
      <rPr>
        <b/>
        <sz val="10"/>
        <rFont val="Calibri"/>
        <family val="2"/>
      </rPr>
      <t>Source:</t>
    </r>
    <r>
      <rPr>
        <sz val="10"/>
        <rFont val="Calibri"/>
        <family val="2"/>
      </rPr>
      <t xml:space="preserve">  Department of Education Service &amp; Private Schools</t>
    </r>
  </si>
  <si>
    <t>Please note the full time equivalent (FTE) staffing (included in the table from 2013) only includes classroom based staff for the proportion of their time spent teaching in the classroom.</t>
  </si>
  <si>
    <r>
      <t>Pre-College</t>
    </r>
    <r>
      <rPr>
        <b/>
        <vertAlign val="superscript"/>
        <sz val="10"/>
        <rFont val="Arial"/>
        <family val="2"/>
      </rPr>
      <t>5</t>
    </r>
  </si>
  <si>
    <t>Pre-College is a new category introduced for 2013</t>
  </si>
  <si>
    <t>Certificate Programme - all students are full time. During 2007 admission was unusally  high due to lowering of the admission criteria.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</si>
  <si>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University College of the Cayman Islands</t>
    </r>
  </si>
  <si>
    <t>ALL SCHOOLS (excluding Lighthouse School)</t>
  </si>
  <si>
    <t>GOVERNMENT SCHOOLS</t>
  </si>
  <si>
    <r>
      <t>Teachers (Full Time Equivalent (FTE))</t>
    </r>
    <r>
      <rPr>
        <vertAlign val="superscript"/>
        <sz val="10"/>
        <rFont val="Calibri"/>
        <family val="2"/>
      </rPr>
      <t>1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</si>
  <si>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Public Library</t>
    </r>
  </si>
  <si>
    <t>8:30AM - 10:00AM</t>
  </si>
  <si>
    <t>6:00-7:30PM</t>
  </si>
  <si>
    <r>
      <rPr>
        <b/>
        <sz val="11"/>
        <color indexed="8"/>
        <rFont val="Arial"/>
        <family val="2"/>
      </rPr>
      <t>Source:</t>
    </r>
    <r>
      <rPr>
        <sz val="11"/>
        <color indexed="8"/>
        <rFont val="Arial"/>
        <family val="2"/>
      </rPr>
      <t xml:space="preserve"> Department of Education Services</t>
    </r>
  </si>
  <si>
    <t>Lighthouse School not included in 2008 and 2009</t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</si>
  <si>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Department of Education Services</t>
    </r>
  </si>
  <si>
    <t>Average No. Of Entries/ student</t>
  </si>
  <si>
    <t>Academic criteria was changed from measuring the number of passes to measuring the number of unique subjects achieved</t>
  </si>
  <si>
    <t>The Clifton Hunter High School was added for 2012</t>
  </si>
  <si>
    <t>2:00 - 3:00PM</t>
  </si>
  <si>
    <t>Enrolment by Age and Gender, 2017</t>
  </si>
  <si>
    <t>Enrolment by Sector, Type of School and Gender, 2009-2017</t>
  </si>
  <si>
    <t>Student Teacher Ratios (STR), 2011 -  2017</t>
  </si>
  <si>
    <t>Enrolment in Tertiary Institutions: University College of the Cayman Islands, 2011 - 2017</t>
  </si>
  <si>
    <t>Students Studying Higher Education Overseas on Education Council Scholarships, 2011-2017</t>
  </si>
  <si>
    <t>Library Visitors 2017</t>
  </si>
  <si>
    <t>Library Card Holders and Members, 2017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</si>
  <si>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Public Library</t>
    </r>
  </si>
  <si>
    <t>STATISTICAL COMPENDIUM 2017</t>
  </si>
  <si>
    <t>Early Childhood Care and Education Enrolment and Staffing 2011-2017</t>
  </si>
  <si>
    <t>Early Childhood Care and Education (ECCE)</t>
  </si>
  <si>
    <t>Enrolment by District and Gender, 2014 - 2017</t>
  </si>
  <si>
    <t xml:space="preserve">Early Childhood Care and Education (ECCE) </t>
  </si>
  <si>
    <t>Primary &amp; Secondary Education</t>
  </si>
  <si>
    <t>Enrolment by Sector, Level of School, District and Gender, 2017</t>
  </si>
  <si>
    <t xml:space="preserve"> Government &amp; Private Primary School Enrolment by Age, Grade and Gender, 2017</t>
  </si>
  <si>
    <t>3.02c:</t>
  </si>
  <si>
    <t xml:space="preserve">3.02d: </t>
  </si>
  <si>
    <t>Government &amp; Private Secondary School Enrolment by Age, Grade and Gender, 2017</t>
  </si>
  <si>
    <t>Examination Results, Government High Schools  2012-2017</t>
  </si>
  <si>
    <t>Circulation Statistics of the Public Libraries,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</si>
</sst>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\-\ #\ \-"/>
    <numFmt numFmtId="167" formatCode="0.0"/>
    <numFmt numFmtId="168" formatCode="0.000"/>
    <numFmt numFmtId="169" formatCode="#,##0.0"/>
    <numFmt numFmtId="170" formatCode="#,##0.0_);\(#,##0.0\)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Book Antiqua"/>
      <family val="1"/>
    </font>
    <font>
      <sz val="9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Book Antiqua"/>
      <family val="1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u/>
      <sz val="10"/>
      <name val="Arial"/>
      <family val="2"/>
    </font>
    <font>
      <sz val="11"/>
      <name val="Calibri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u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0"/>
      <name val="Calibri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362B36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trike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1" applyNumberFormat="0" applyAlignment="0" applyProtection="0"/>
    <xf numFmtId="0" fontId="37" fillId="17" borderId="2" applyNumberFormat="0" applyAlignment="0" applyProtection="0"/>
    <xf numFmtId="43" fontId="3" fillId="0" borderId="0" applyFont="0" applyFill="0" applyBorder="0" applyProtection="0"/>
    <xf numFmtId="43" fontId="3" fillId="0" borderId="0" applyFont="0" applyFill="0" applyBorder="0" applyProtection="0"/>
    <xf numFmtId="43" fontId="3" fillId="0" borderId="0" applyFont="0" applyFill="0" applyBorder="0" applyProtection="0"/>
    <xf numFmtId="43" fontId="3" fillId="0" borderId="0" applyFont="0" applyFill="0" applyBorder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7" borderId="1" applyNumberFormat="0" applyAlignment="0" applyProtection="0"/>
    <xf numFmtId="0" fontId="44" fillId="0" borderId="6" applyNumberFormat="0" applyFill="0" applyAlignment="0" applyProtection="0"/>
    <xf numFmtId="0" fontId="45" fillId="7" borderId="0" applyNumberFormat="0" applyBorder="0" applyAlignment="0" applyProtection="0"/>
    <xf numFmtId="0" fontId="49" fillId="0" borderId="0"/>
    <xf numFmtId="0" fontId="3" fillId="0" borderId="0" applyAlignment="0" applyProtection="0"/>
    <xf numFmtId="0" fontId="3" fillId="0" borderId="0"/>
    <xf numFmtId="0" fontId="66" fillId="0" borderId="0"/>
    <xf numFmtId="0" fontId="3" fillId="0" borderId="0" applyAlignment="0" applyProtection="0"/>
    <xf numFmtId="0" fontId="3" fillId="0" borderId="0" applyAlignment="0" applyProtection="0"/>
    <xf numFmtId="0" fontId="3" fillId="0" borderId="0" applyAlignment="0" applyProtection="0"/>
    <xf numFmtId="0" fontId="3" fillId="0" borderId="0"/>
    <xf numFmtId="0" fontId="49" fillId="0" borderId="0" applyAlignment="0" applyProtection="0"/>
    <xf numFmtId="0" fontId="3" fillId="4" borderId="7" applyNumberFormat="0" applyFont="0" applyAlignment="0" applyProtection="0"/>
    <xf numFmtId="0" fontId="46" fillId="16" borderId="8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4" fillId="0" borderId="0" applyNumberFormat="0" applyFill="0" applyBorder="0" applyAlignment="0" applyProtection="0"/>
  </cellStyleXfs>
  <cellXfs count="691">
    <xf numFmtId="0" fontId="0" fillId="0" borderId="0" xfId="0"/>
    <xf numFmtId="0" fontId="4" fillId="0" borderId="0" xfId="0" applyFont="1"/>
    <xf numFmtId="0" fontId="0" fillId="0" borderId="10" xfId="0" applyBorder="1"/>
    <xf numFmtId="0" fontId="7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5" fontId="0" fillId="0" borderId="0" xfId="28" applyNumberFormat="1" applyFont="1" applyAlignment="1">
      <alignment horizontal="right"/>
    </xf>
    <xf numFmtId="0" fontId="3" fillId="0" borderId="0" xfId="0" applyFont="1"/>
    <xf numFmtId="165" fontId="0" fillId="0" borderId="0" xfId="28" applyNumberFormat="1" applyFont="1"/>
    <xf numFmtId="165" fontId="0" fillId="0" borderId="0" xfId="28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/>
    <xf numFmtId="166" fontId="0" fillId="0" borderId="0" xfId="0" applyNumberFormat="1" applyAlignment="1">
      <alignment horizontal="centerContinuous"/>
    </xf>
    <xf numFmtId="0" fontId="2" fillId="0" borderId="11" xfId="0" applyFont="1" applyBorder="1" applyAlignment="1">
      <alignment horizontal="center"/>
    </xf>
    <xf numFmtId="165" fontId="7" fillId="0" borderId="0" xfId="28" applyNumberFormat="1" applyFont="1" applyAlignment="1">
      <alignment horizontal="right"/>
    </xf>
    <xf numFmtId="165" fontId="6" fillId="0" borderId="0" xfId="28" applyNumberFormat="1" applyFont="1" applyAlignment="1">
      <alignment horizontal="right"/>
    </xf>
    <xf numFmtId="0" fontId="9" fillId="0" borderId="0" xfId="0" applyFont="1"/>
    <xf numFmtId="0" fontId="9" fillId="0" borderId="0" xfId="0" applyFo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Continuous"/>
    </xf>
    <xf numFmtId="165" fontId="2" fillId="0" borderId="0" xfId="28" applyNumberFormat="1" applyFont="1"/>
    <xf numFmtId="0" fontId="0" fillId="0" borderId="0" xfId="0" applyFill="1"/>
    <xf numFmtId="0" fontId="2" fillId="0" borderId="11" xfId="0" applyFont="1" applyBorder="1" applyAlignment="1">
      <alignment horizontal="left" wrapText="1"/>
    </xf>
    <xf numFmtId="0" fontId="5" fillId="0" borderId="0" xfId="0" applyFont="1"/>
    <xf numFmtId="165" fontId="0" fillId="0" borderId="0" xfId="28" applyNumberFormat="1" applyFont="1" applyAlignment="1">
      <alignment horizontal="center"/>
    </xf>
    <xf numFmtId="165" fontId="2" fillId="0" borderId="0" xfId="28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9" fillId="0" borderId="11" xfId="0" applyFont="1" applyBorder="1"/>
    <xf numFmtId="165" fontId="6" fillId="0" borderId="0" xfId="28" applyNumberFormat="1" applyFont="1"/>
    <xf numFmtId="0" fontId="6" fillId="0" borderId="11" xfId="0" applyFont="1" applyBorder="1"/>
    <xf numFmtId="0" fontId="4" fillId="0" borderId="0" xfId="0" applyFont="1" applyAlignment="1">
      <alignment horizontal="left"/>
    </xf>
    <xf numFmtId="0" fontId="6" fillId="0" borderId="11" xfId="0" applyFont="1" applyBorder="1" applyAlignment="1">
      <alignment horizontal="right"/>
    </xf>
    <xf numFmtId="0" fontId="6" fillId="0" borderId="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ill="1" applyBorder="1"/>
    <xf numFmtId="0" fontId="6" fillId="0" borderId="11" xfId="0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1" xfId="0" applyNumberFormat="1" applyFont="1" applyBorder="1" applyAlignment="1">
      <alignment horizontal="right"/>
    </xf>
    <xf numFmtId="0" fontId="13" fillId="0" borderId="0" xfId="0" applyFont="1"/>
    <xf numFmtId="0" fontId="0" fillId="18" borderId="0" xfId="0" applyFill="1"/>
    <xf numFmtId="0" fontId="0" fillId="0" borderId="0" xfId="0" applyAlignment="1"/>
    <xf numFmtId="166" fontId="0" fillId="0" borderId="0" xfId="0" applyNumberFormat="1" applyAlignment="1"/>
    <xf numFmtId="165" fontId="3" fillId="0" borderId="0" xfId="28" applyNumberFormat="1" applyFill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6" fillId="0" borderId="0" xfId="0" applyFont="1" applyFill="1" applyBorder="1"/>
    <xf numFmtId="165" fontId="13" fillId="0" borderId="0" xfId="28" applyNumberFormat="1" applyFont="1" applyAlignment="1">
      <alignment horizontal="right"/>
    </xf>
    <xf numFmtId="164" fontId="13" fillId="0" borderId="0" xfId="28" applyNumberFormat="1" applyFont="1" applyAlignment="1">
      <alignment horizontal="center"/>
    </xf>
    <xf numFmtId="164" fontId="13" fillId="0" borderId="0" xfId="28" applyNumberFormat="1" applyFont="1" applyAlignment="1">
      <alignment horizontal="right"/>
    </xf>
    <xf numFmtId="165" fontId="3" fillId="0" borderId="0" xfId="28" applyNumberFormat="1"/>
    <xf numFmtId="165" fontId="3" fillId="0" borderId="0" xfId="28" applyNumberFormat="1" applyFont="1"/>
    <xf numFmtId="0" fontId="6" fillId="0" borderId="0" xfId="0" applyFont="1" applyAlignment="1">
      <alignment horizontal="left"/>
    </xf>
    <xf numFmtId="165" fontId="3" fillId="0" borderId="10" xfId="28" applyNumberFormat="1" applyFont="1" applyBorder="1"/>
    <xf numFmtId="0" fontId="19" fillId="0" borderId="0" xfId="0" applyFont="1" applyAlignment="1">
      <alignment horizontal="right"/>
    </xf>
    <xf numFmtId="165" fontId="3" fillId="0" borderId="0" xfId="28" applyNumberFormat="1" applyFont="1" applyBorder="1"/>
    <xf numFmtId="0" fontId="6" fillId="0" borderId="0" xfId="0" applyFont="1" applyAlignment="1">
      <alignment horizontal="left" indent="1"/>
    </xf>
    <xf numFmtId="164" fontId="8" fillId="0" borderId="0" xfId="28" applyNumberFormat="1" applyFont="1" applyAlignment="1">
      <alignment horizontal="center"/>
    </xf>
    <xf numFmtId="38" fontId="2" fillId="0" borderId="0" xfId="28" applyNumberFormat="1" applyFont="1"/>
    <xf numFmtId="38" fontId="21" fillId="0" borderId="0" xfId="28" applyNumberFormat="1" applyFont="1"/>
    <xf numFmtId="38" fontId="21" fillId="0" borderId="0" xfId="0" applyNumberFormat="1" applyFont="1"/>
    <xf numFmtId="38" fontId="6" fillId="0" borderId="0" xfId="0" applyNumberFormat="1" applyFont="1"/>
    <xf numFmtId="38" fontId="0" fillId="0" borderId="0" xfId="0" applyNumberFormat="1"/>
    <xf numFmtId="38" fontId="0" fillId="0" borderId="0" xfId="28" applyNumberFormat="1" applyFont="1"/>
    <xf numFmtId="38" fontId="13" fillId="0" borderId="0" xfId="28" applyNumberFormat="1" applyFont="1" applyAlignment="1">
      <alignment horizontal="right"/>
    </xf>
    <xf numFmtId="38" fontId="6" fillId="0" borderId="0" xfId="28" applyNumberFormat="1" applyFont="1"/>
    <xf numFmtId="38" fontId="8" fillId="0" borderId="0" xfId="28" applyNumberFormat="1" applyFont="1" applyAlignment="1">
      <alignment horizontal="right"/>
    </xf>
    <xf numFmtId="38" fontId="6" fillId="0" borderId="0" xfId="0" applyNumberFormat="1" applyFont="1" applyAlignment="1">
      <alignment horizontal="right"/>
    </xf>
    <xf numFmtId="38" fontId="0" fillId="0" borderId="0" xfId="0" applyNumberFormat="1" applyAlignment="1">
      <alignment horizontal="right"/>
    </xf>
    <xf numFmtId="38" fontId="21" fillId="0" borderId="0" xfId="0" applyNumberFormat="1" applyFont="1" applyFill="1"/>
    <xf numFmtId="38" fontId="0" fillId="0" borderId="0" xfId="28" applyNumberFormat="1" applyFont="1" applyFill="1" applyAlignment="1">
      <alignment horizontal="right"/>
    </xf>
    <xf numFmtId="38" fontId="0" fillId="0" borderId="0" xfId="28" applyNumberFormat="1" applyFont="1" applyFill="1"/>
    <xf numFmtId="38" fontId="2" fillId="0" borderId="0" xfId="28" applyNumberFormat="1" applyFont="1" applyFill="1"/>
    <xf numFmtId="38" fontId="21" fillId="0" borderId="0" xfId="28" applyNumberFormat="1" applyFont="1" applyFill="1"/>
    <xf numFmtId="165" fontId="6" fillId="0" borderId="0" xfId="28" applyNumberFormat="1" applyFont="1" applyFill="1"/>
    <xf numFmtId="165" fontId="3" fillId="0" borderId="10" xfId="28" applyNumberFormat="1" applyBorder="1"/>
    <xf numFmtId="165" fontId="9" fillId="0" borderId="0" xfId="28" applyNumberFormat="1" applyFont="1" applyAlignment="1">
      <alignment horizontal="center"/>
    </xf>
    <xf numFmtId="0" fontId="7" fillId="0" borderId="10" xfId="0" applyFont="1" applyBorder="1" applyAlignment="1">
      <alignment horizontal="left" indent="1"/>
    </xf>
    <xf numFmtId="0" fontId="6" fillId="0" borderId="0" xfId="0" applyFont="1" applyAlignment="1"/>
    <xf numFmtId="165" fontId="3" fillId="0" borderId="0" xfId="28" applyNumberFormat="1" applyBorder="1"/>
    <xf numFmtId="0" fontId="6" fillId="0" borderId="0" xfId="0" applyFon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19" fillId="0" borderId="0" xfId="0" applyFont="1" applyAlignment="1"/>
    <xf numFmtId="0" fontId="3" fillId="0" borderId="0" xfId="50"/>
    <xf numFmtId="0" fontId="7" fillId="0" borderId="0" xfId="50" applyFont="1"/>
    <xf numFmtId="0" fontId="19" fillId="0" borderId="0" xfId="50" applyFont="1" applyAlignment="1">
      <alignment horizontal="right"/>
    </xf>
    <xf numFmtId="0" fontId="3" fillId="18" borderId="0" xfId="50" applyFill="1"/>
    <xf numFmtId="165" fontId="3" fillId="0" borderId="0" xfId="32" applyNumberFormat="1"/>
    <xf numFmtId="165" fontId="3" fillId="0" borderId="0" xfId="50" applyNumberFormat="1"/>
    <xf numFmtId="0" fontId="3" fillId="18" borderId="0" xfId="50" applyFill="1" applyAlignment="1">
      <alignment horizontal="centerContinuous"/>
    </xf>
    <xf numFmtId="0" fontId="3" fillId="0" borderId="0" xfId="50" applyFont="1"/>
    <xf numFmtId="165" fontId="9" fillId="0" borderId="0" xfId="28" applyNumberFormat="1" applyFont="1" applyAlignment="1">
      <alignment horizontal="right"/>
    </xf>
    <xf numFmtId="165" fontId="7" fillId="0" borderId="0" xfId="28" applyNumberFormat="1" applyFont="1" applyAlignment="1"/>
    <xf numFmtId="165" fontId="6" fillId="0" borderId="0" xfId="28" applyNumberFormat="1" applyFont="1" applyFill="1" applyAlignment="1">
      <alignment horizontal="right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38" fontId="3" fillId="0" borderId="0" xfId="28" applyNumberFormat="1" applyFont="1" applyAlignment="1">
      <alignment horizontal="right"/>
    </xf>
    <xf numFmtId="165" fontId="6" fillId="0" borderId="0" xfId="28" applyNumberFormat="1" applyFont="1" applyBorder="1"/>
    <xf numFmtId="49" fontId="6" fillId="0" borderId="0" xfId="50" applyNumberFormat="1" applyFont="1" applyBorder="1"/>
    <xf numFmtId="0" fontId="3" fillId="0" borderId="0" xfId="49" applyFill="1"/>
    <xf numFmtId="165" fontId="3" fillId="0" borderId="0" xfId="31" applyNumberFormat="1" applyFill="1"/>
    <xf numFmtId="0" fontId="15" fillId="0" borderId="0" xfId="49" applyFont="1" applyFill="1"/>
    <xf numFmtId="0" fontId="3" fillId="0" borderId="0" xfId="49" applyFont="1" applyFill="1" applyBorder="1"/>
    <xf numFmtId="0" fontId="3" fillId="0" borderId="0" xfId="49" applyFont="1" applyFill="1"/>
    <xf numFmtId="165" fontId="3" fillId="0" borderId="0" xfId="31" applyNumberFormat="1" applyFont="1" applyFill="1"/>
    <xf numFmtId="165" fontId="3" fillId="0" borderId="0" xfId="49" applyNumberFormat="1" applyFill="1"/>
    <xf numFmtId="0" fontId="6" fillId="0" borderId="0" xfId="49" applyFont="1" applyFill="1"/>
    <xf numFmtId="165" fontId="2" fillId="0" borderId="0" xfId="31" applyNumberFormat="1" applyFont="1" applyFill="1"/>
    <xf numFmtId="0" fontId="13" fillId="0" borderId="0" xfId="49" applyFont="1" applyFill="1" applyAlignment="1">
      <alignment horizontal="right"/>
    </xf>
    <xf numFmtId="165" fontId="3" fillId="0" borderId="0" xfId="31" applyNumberFormat="1" applyFont="1" applyFill="1" applyAlignment="1">
      <alignment horizontal="right"/>
    </xf>
    <xf numFmtId="0" fontId="3" fillId="0" borderId="0" xfId="49" applyFont="1" applyFill="1" applyAlignment="1">
      <alignment horizontal="center"/>
    </xf>
    <xf numFmtId="165" fontId="3" fillId="0" borderId="0" xfId="31" applyNumberFormat="1" applyFont="1" applyFill="1" applyBorder="1"/>
    <xf numFmtId="0" fontId="2" fillId="0" borderId="0" xfId="49" applyFont="1" applyFill="1" applyBorder="1" applyAlignment="1">
      <alignment horizontal="left"/>
    </xf>
    <xf numFmtId="0" fontId="2" fillId="0" borderId="0" xfId="49" applyFont="1" applyFill="1" applyBorder="1"/>
    <xf numFmtId="0" fontId="3" fillId="0" borderId="10" xfId="49" applyFont="1" applyFill="1" applyBorder="1"/>
    <xf numFmtId="165" fontId="2" fillId="0" borderId="0" xfId="31" applyNumberFormat="1" applyFont="1" applyFill="1" applyBorder="1"/>
    <xf numFmtId="0" fontId="13" fillId="0" borderId="0" xfId="49" applyFont="1" applyFill="1"/>
    <xf numFmtId="0" fontId="7" fillId="0" borderId="0" xfId="49" applyFont="1" applyFill="1" applyBorder="1" applyAlignment="1">
      <alignment horizontal="left"/>
    </xf>
    <xf numFmtId="166" fontId="3" fillId="0" borderId="0" xfId="49" applyNumberFormat="1" applyFill="1" applyAlignment="1"/>
    <xf numFmtId="0" fontId="3" fillId="0" borderId="0" xfId="49" applyFill="1" applyBorder="1"/>
    <xf numFmtId="0" fontId="16" fillId="0" borderId="0" xfId="49" applyFont="1" applyFill="1" applyBorder="1"/>
    <xf numFmtId="165" fontId="2" fillId="0" borderId="0" xfId="49" applyNumberFormat="1" applyFont="1" applyFill="1" applyBorder="1"/>
    <xf numFmtId="0" fontId="9" fillId="0" borderId="0" xfId="49" applyFont="1" applyFill="1" applyBorder="1"/>
    <xf numFmtId="0" fontId="2" fillId="0" borderId="10" xfId="49" applyFont="1" applyFill="1" applyBorder="1"/>
    <xf numFmtId="165" fontId="3" fillId="0" borderId="10" xfId="31" applyNumberFormat="1" applyFont="1" applyFill="1" applyBorder="1"/>
    <xf numFmtId="0" fontId="3" fillId="0" borderId="10" xfId="49" applyFont="1" applyFill="1" applyBorder="1" applyAlignment="1">
      <alignment horizontal="center"/>
    </xf>
    <xf numFmtId="38" fontId="0" fillId="0" borderId="0" xfId="28" applyNumberFormat="1" applyFont="1" applyAlignment="1">
      <alignment horizontal="right"/>
    </xf>
    <xf numFmtId="0" fontId="0" fillId="0" borderId="0" xfId="0" applyFill="1" applyAlignment="1"/>
    <xf numFmtId="38" fontId="32" fillId="0" borderId="0" xfId="28" applyNumberFormat="1" applyFont="1" applyAlignment="1">
      <alignment horizontal="left"/>
    </xf>
    <xf numFmtId="38" fontId="13" fillId="0" borderId="0" xfId="28" applyNumberFormat="1" applyFont="1" applyFill="1" applyAlignment="1">
      <alignment horizontal="right"/>
    </xf>
    <xf numFmtId="0" fontId="13" fillId="0" borderId="0" xfId="0" applyFont="1" applyAlignment="1">
      <alignment vertical="top"/>
    </xf>
    <xf numFmtId="165" fontId="7" fillId="0" borderId="0" xfId="28" applyNumberFormat="1" applyFont="1" applyAlignment="1">
      <alignment horizontal="left"/>
    </xf>
    <xf numFmtId="43" fontId="3" fillId="0" borderId="0" xfId="28"/>
    <xf numFmtId="0" fontId="3" fillId="0" borderId="0" xfId="0" applyFont="1" applyAlignme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2" fillId="0" borderId="0" xfId="0" applyFont="1" applyFill="1"/>
    <xf numFmtId="165" fontId="3" fillId="0" borderId="0" xfId="28" applyNumberFormat="1" applyFont="1" applyFill="1" applyBorder="1"/>
    <xf numFmtId="0" fontId="26" fillId="0" borderId="0" xfId="49" applyFont="1" applyFill="1" applyAlignment="1">
      <alignment horizontal="right"/>
    </xf>
    <xf numFmtId="0" fontId="4" fillId="0" borderId="0" xfId="49" applyFont="1" applyFill="1" applyAlignment="1">
      <alignment horizontal="center"/>
    </xf>
    <xf numFmtId="0" fontId="0" fillId="19" borderId="0" xfId="0" applyFill="1"/>
    <xf numFmtId="0" fontId="0" fillId="19" borderId="10" xfId="0" applyFill="1" applyBorder="1"/>
    <xf numFmtId="0" fontId="0" fillId="19" borderId="0" xfId="0" applyFill="1" applyBorder="1"/>
    <xf numFmtId="0" fontId="3" fillId="19" borderId="0" xfId="0" applyFont="1" applyFill="1"/>
    <xf numFmtId="165" fontId="3" fillId="19" borderId="0" xfId="28" applyNumberFormat="1" applyFill="1"/>
    <xf numFmtId="0" fontId="12" fillId="0" borderId="0" xfId="49" applyFont="1" applyFill="1" applyBorder="1" applyAlignment="1">
      <alignment horizontal="right"/>
    </xf>
    <xf numFmtId="0" fontId="4" fillId="19" borderId="0" xfId="49" applyFont="1" applyFill="1" applyAlignment="1">
      <alignment horizontal="left"/>
    </xf>
    <xf numFmtId="0" fontId="3" fillId="19" borderId="0" xfId="49" applyFill="1"/>
    <xf numFmtId="165" fontId="3" fillId="19" borderId="0" xfId="31" applyNumberFormat="1" applyFill="1"/>
    <xf numFmtId="0" fontId="10" fillId="19" borderId="0" xfId="49" applyFont="1" applyFill="1" applyAlignment="1"/>
    <xf numFmtId="0" fontId="3" fillId="19" borderId="0" xfId="49" applyFill="1" applyAlignment="1">
      <alignment horizontal="centerContinuous"/>
    </xf>
    <xf numFmtId="0" fontId="3" fillId="19" borderId="10" xfId="49" applyFill="1" applyBorder="1"/>
    <xf numFmtId="0" fontId="12" fillId="19" borderId="10" xfId="49" applyFont="1" applyFill="1" applyBorder="1" applyAlignment="1">
      <alignment horizontal="right"/>
    </xf>
    <xf numFmtId="0" fontId="3" fillId="19" borderId="0" xfId="49" applyFont="1" applyFill="1" applyBorder="1"/>
    <xf numFmtId="0" fontId="2" fillId="19" borderId="11" xfId="49" applyFont="1" applyFill="1" applyBorder="1" applyAlignment="1">
      <alignment horizontal="right"/>
    </xf>
    <xf numFmtId="0" fontId="2" fillId="19" borderId="11" xfId="49" applyFont="1" applyFill="1" applyBorder="1" applyAlignment="1">
      <alignment horizontal="center"/>
    </xf>
    <xf numFmtId="0" fontId="6" fillId="19" borderId="10" xfId="49" applyFont="1" applyFill="1" applyBorder="1"/>
    <xf numFmtId="0" fontId="6" fillId="19" borderId="11" xfId="49" applyFont="1" applyFill="1" applyBorder="1"/>
    <xf numFmtId="0" fontId="16" fillId="19" borderId="0" xfId="49" applyFont="1" applyFill="1" applyAlignment="1"/>
    <xf numFmtId="0" fontId="3" fillId="19" borderId="0" xfId="49" applyFont="1" applyFill="1"/>
    <xf numFmtId="165" fontId="3" fillId="19" borderId="0" xfId="31" applyNumberFormat="1" applyFont="1" applyFill="1"/>
    <xf numFmtId="0" fontId="2" fillId="19" borderId="0" xfId="49" applyFont="1" applyFill="1" applyAlignment="1"/>
    <xf numFmtId="0" fontId="6" fillId="19" borderId="0" xfId="49" applyFont="1" applyFill="1"/>
    <xf numFmtId="0" fontId="2" fillId="19" borderId="0" xfId="49" applyFont="1" applyFill="1" applyAlignment="1">
      <alignment horizontal="left"/>
    </xf>
    <xf numFmtId="165" fontId="2" fillId="19" borderId="0" xfId="31" applyNumberFormat="1" applyFont="1" applyFill="1"/>
    <xf numFmtId="164" fontId="2" fillId="19" borderId="0" xfId="28" applyNumberFormat="1" applyFont="1" applyFill="1"/>
    <xf numFmtId="164" fontId="2" fillId="19" borderId="0" xfId="31" applyNumberFormat="1" applyFont="1" applyFill="1"/>
    <xf numFmtId="0" fontId="13" fillId="19" borderId="0" xfId="49" applyFont="1" applyFill="1" applyAlignment="1">
      <alignment horizontal="right"/>
    </xf>
    <xf numFmtId="164" fontId="6" fillId="19" borderId="0" xfId="28" applyNumberFormat="1" applyFont="1" applyFill="1"/>
    <xf numFmtId="164" fontId="6" fillId="19" borderId="0" xfId="49" applyNumberFormat="1" applyFont="1" applyFill="1" applyAlignment="1">
      <alignment horizontal="right"/>
    </xf>
    <xf numFmtId="0" fontId="3" fillId="19" borderId="0" xfId="49" applyFont="1" applyFill="1" applyAlignment="1">
      <alignment horizontal="left" indent="1"/>
    </xf>
    <xf numFmtId="164" fontId="3" fillId="19" borderId="0" xfId="31" applyNumberFormat="1" applyFont="1" applyFill="1"/>
    <xf numFmtId="164" fontId="13" fillId="19" borderId="0" xfId="49" applyNumberFormat="1" applyFont="1" applyFill="1" applyAlignment="1">
      <alignment horizontal="right"/>
    </xf>
    <xf numFmtId="164" fontId="25" fillId="19" borderId="0" xfId="49" applyNumberFormat="1" applyFont="1" applyFill="1" applyAlignment="1">
      <alignment horizontal="right"/>
    </xf>
    <xf numFmtId="164" fontId="3" fillId="19" borderId="0" xfId="31" applyNumberFormat="1" applyFont="1" applyFill="1" applyAlignment="1">
      <alignment horizontal="right"/>
    </xf>
    <xf numFmtId="164" fontId="29" fillId="19" borderId="0" xfId="28" applyNumberFormat="1" applyFont="1" applyFill="1"/>
    <xf numFmtId="164" fontId="3" fillId="19" borderId="0" xfId="28" applyNumberFormat="1" applyFill="1"/>
    <xf numFmtId="164" fontId="6" fillId="19" borderId="0" xfId="31" applyNumberFormat="1" applyFont="1" applyFill="1"/>
    <xf numFmtId="165" fontId="6" fillId="19" borderId="0" xfId="31" applyNumberFormat="1" applyFont="1" applyFill="1"/>
    <xf numFmtId="164" fontId="6" fillId="19" borderId="0" xfId="31" applyNumberFormat="1" applyFont="1" applyFill="1" applyAlignment="1">
      <alignment horizontal="right"/>
    </xf>
    <xf numFmtId="164" fontId="24" fillId="19" borderId="0" xfId="31" applyNumberFormat="1" applyFont="1" applyFill="1" applyAlignment="1">
      <alignment horizontal="right"/>
    </xf>
    <xf numFmtId="0" fontId="3" fillId="19" borderId="0" xfId="49" applyFont="1" applyFill="1" applyAlignment="1">
      <alignment horizontal="left" indent="2"/>
    </xf>
    <xf numFmtId="164" fontId="29" fillId="19" borderId="0" xfId="31" applyNumberFormat="1" applyFont="1" applyFill="1"/>
    <xf numFmtId="165" fontId="3" fillId="19" borderId="0" xfId="31" applyNumberFormat="1" applyFont="1" applyFill="1" applyAlignment="1">
      <alignment horizontal="right"/>
    </xf>
    <xf numFmtId="164" fontId="29" fillId="19" borderId="0" xfId="31" applyNumberFormat="1" applyFont="1" applyFill="1" applyAlignment="1">
      <alignment horizontal="center"/>
    </xf>
    <xf numFmtId="164" fontId="3" fillId="19" borderId="0" xfId="28" applyNumberFormat="1" applyFill="1" applyAlignment="1">
      <alignment horizontal="left"/>
    </xf>
    <xf numFmtId="165" fontId="13" fillId="19" borderId="0" xfId="31" applyNumberFormat="1" applyFont="1" applyFill="1" applyAlignment="1">
      <alignment horizontal="right"/>
    </xf>
    <xf numFmtId="169" fontId="7" fillId="19" borderId="0" xfId="49" applyNumberFormat="1" applyFont="1" applyFill="1" applyAlignment="1">
      <alignment horizontal="right"/>
    </xf>
    <xf numFmtId="164" fontId="29" fillId="19" borderId="0" xfId="31" applyNumberFormat="1" applyFont="1" applyFill="1" applyAlignment="1">
      <alignment horizontal="right"/>
    </xf>
    <xf numFmtId="164" fontId="51" fillId="19" borderId="0" xfId="28" applyNumberFormat="1" applyFont="1" applyFill="1"/>
    <xf numFmtId="0" fontId="3" fillId="19" borderId="0" xfId="49" applyFont="1" applyFill="1" applyAlignment="1">
      <alignment horizontal="right"/>
    </xf>
    <xf numFmtId="165" fontId="17" fillId="19" borderId="0" xfId="31" applyNumberFormat="1" applyFont="1" applyFill="1"/>
    <xf numFmtId="0" fontId="17" fillId="19" borderId="0" xfId="49" applyFont="1" applyFill="1"/>
    <xf numFmtId="0" fontId="17" fillId="19" borderId="0" xfId="49" applyFont="1" applyFill="1" applyAlignment="1">
      <alignment horizontal="right"/>
    </xf>
    <xf numFmtId="165" fontId="17" fillId="19" borderId="0" xfId="31" applyNumberFormat="1" applyFont="1" applyFill="1" applyAlignment="1">
      <alignment horizontal="right"/>
    </xf>
    <xf numFmtId="0" fontId="29" fillId="19" borderId="0" xfId="49" applyFont="1" applyFill="1"/>
    <xf numFmtId="164" fontId="2" fillId="19" borderId="0" xfId="31" applyNumberFormat="1" applyFont="1" applyFill="1" applyAlignment="1">
      <alignment horizontal="right"/>
    </xf>
    <xf numFmtId="43" fontId="6" fillId="19" borderId="0" xfId="28" applyFont="1" applyFill="1"/>
    <xf numFmtId="164" fontId="25" fillId="19" borderId="0" xfId="31" applyNumberFormat="1" applyFont="1" applyFill="1" applyAlignment="1">
      <alignment horizontal="right"/>
    </xf>
    <xf numFmtId="164" fontId="3" fillId="19" borderId="0" xfId="28" applyNumberFormat="1" applyFont="1" applyFill="1"/>
    <xf numFmtId="170" fontId="6" fillId="19" borderId="0" xfId="31" applyNumberFormat="1" applyFont="1" applyFill="1" applyAlignment="1">
      <alignment horizontal="right"/>
    </xf>
    <xf numFmtId="170" fontId="24" fillId="19" borderId="0" xfId="31" applyNumberFormat="1" applyFont="1" applyFill="1" applyAlignment="1">
      <alignment horizontal="right"/>
    </xf>
    <xf numFmtId="170" fontId="6" fillId="19" borderId="0" xfId="28" applyNumberFormat="1" applyFont="1" applyFill="1"/>
    <xf numFmtId="165" fontId="2" fillId="19" borderId="0" xfId="31" applyNumberFormat="1" applyFont="1" applyFill="1" applyAlignment="1">
      <alignment horizontal="right"/>
    </xf>
    <xf numFmtId="170" fontId="3" fillId="19" borderId="0" xfId="31" applyNumberFormat="1" applyFont="1" applyFill="1" applyAlignment="1">
      <alignment horizontal="right"/>
    </xf>
    <xf numFmtId="170" fontId="29" fillId="19" borderId="0" xfId="31" applyNumberFormat="1" applyFont="1" applyFill="1"/>
    <xf numFmtId="170" fontId="3" fillId="19" borderId="0" xfId="28" applyNumberFormat="1" applyFill="1"/>
    <xf numFmtId="170" fontId="29" fillId="19" borderId="0" xfId="31" applyNumberFormat="1" applyFont="1" applyFill="1" applyAlignment="1">
      <alignment horizontal="right"/>
    </xf>
    <xf numFmtId="170" fontId="3" fillId="19" borderId="0" xfId="49" applyNumberFormat="1" applyFill="1"/>
    <xf numFmtId="165" fontId="2" fillId="19" borderId="0" xfId="31" applyNumberFormat="1" applyFont="1" applyFill="1" applyAlignment="1">
      <alignment horizontal="center"/>
    </xf>
    <xf numFmtId="0" fontId="3" fillId="19" borderId="0" xfId="49" applyFont="1" applyFill="1" applyAlignment="1">
      <alignment horizontal="left" wrapText="1" indent="2"/>
    </xf>
    <xf numFmtId="170" fontId="13" fillId="19" borderId="0" xfId="49" applyNumberFormat="1" applyFont="1" applyFill="1" applyAlignment="1">
      <alignment horizontal="right"/>
    </xf>
    <xf numFmtId="0" fontId="3" fillId="19" borderId="0" xfId="49" applyFont="1" applyFill="1" applyAlignment="1">
      <alignment horizontal="left" indent="3"/>
    </xf>
    <xf numFmtId="165" fontId="18" fillId="19" borderId="0" xfId="31" applyNumberFormat="1" applyFont="1" applyFill="1" applyAlignment="1">
      <alignment horizontal="right"/>
    </xf>
    <xf numFmtId="170" fontId="3" fillId="19" borderId="0" xfId="49" applyNumberFormat="1" applyFont="1" applyFill="1" applyAlignment="1">
      <alignment horizontal="right"/>
    </xf>
    <xf numFmtId="170" fontId="29" fillId="19" borderId="0" xfId="49" applyNumberFormat="1" applyFont="1" applyFill="1"/>
    <xf numFmtId="164" fontId="3" fillId="19" borderId="0" xfId="49" applyNumberFormat="1" applyFont="1" applyFill="1" applyAlignment="1">
      <alignment horizontal="right"/>
    </xf>
    <xf numFmtId="49" fontId="3" fillId="19" borderId="0" xfId="49" applyNumberFormat="1" applyFont="1" applyFill="1" applyAlignment="1">
      <alignment horizontal="right"/>
    </xf>
    <xf numFmtId="169" fontId="24" fillId="19" borderId="0" xfId="49" applyNumberFormat="1" applyFont="1" applyFill="1" applyAlignment="1">
      <alignment horizontal="right"/>
    </xf>
    <xf numFmtId="170" fontId="24" fillId="19" borderId="0" xfId="49" applyNumberFormat="1" applyFont="1" applyFill="1" applyAlignment="1">
      <alignment horizontal="right"/>
    </xf>
    <xf numFmtId="170" fontId="6" fillId="19" borderId="0" xfId="0" applyNumberFormat="1" applyFont="1" applyFill="1"/>
    <xf numFmtId="170" fontId="6" fillId="19" borderId="0" xfId="49" applyNumberFormat="1" applyFont="1" applyFill="1"/>
    <xf numFmtId="170" fontId="2" fillId="19" borderId="0" xfId="49" applyNumberFormat="1" applyFont="1" applyFill="1" applyAlignment="1">
      <alignment horizontal="right"/>
    </xf>
    <xf numFmtId="170" fontId="2" fillId="19" borderId="0" xfId="31" applyNumberFormat="1" applyFont="1" applyFill="1" applyAlignment="1">
      <alignment horizontal="right"/>
    </xf>
    <xf numFmtId="167" fontId="3" fillId="19" borderId="0" xfId="49" applyNumberFormat="1" applyFont="1" applyFill="1" applyAlignment="1">
      <alignment horizontal="right"/>
    </xf>
    <xf numFmtId="170" fontId="30" fillId="19" borderId="0" xfId="49" applyNumberFormat="1" applyFont="1" applyFill="1" applyAlignment="1">
      <alignment horizontal="right"/>
    </xf>
    <xf numFmtId="170" fontId="25" fillId="19" borderId="0" xfId="31" applyNumberFormat="1" applyFont="1" applyFill="1" applyAlignment="1">
      <alignment horizontal="right"/>
    </xf>
    <xf numFmtId="0" fontId="2" fillId="19" borderId="10" xfId="49" applyFont="1" applyFill="1" applyBorder="1" applyAlignment="1">
      <alignment horizontal="left"/>
    </xf>
    <xf numFmtId="165" fontId="2" fillId="19" borderId="10" xfId="31" applyNumberFormat="1" applyFont="1" applyFill="1" applyBorder="1"/>
    <xf numFmtId="164" fontId="2" fillId="19" borderId="10" xfId="31" applyNumberFormat="1" applyFont="1" applyFill="1" applyBorder="1"/>
    <xf numFmtId="0" fontId="13" fillId="19" borderId="10" xfId="49" applyFont="1" applyFill="1" applyBorder="1" applyAlignment="1">
      <alignment horizontal="right"/>
    </xf>
    <xf numFmtId="170" fontId="13" fillId="19" borderId="10" xfId="49" applyNumberFormat="1" applyFont="1" applyFill="1" applyBorder="1" applyAlignment="1">
      <alignment horizontal="right"/>
    </xf>
    <xf numFmtId="170" fontId="3" fillId="19" borderId="10" xfId="49" applyNumberFormat="1" applyFill="1" applyBorder="1"/>
    <xf numFmtId="0" fontId="2" fillId="19" borderId="0" xfId="49" applyFont="1" applyFill="1" applyAlignment="1">
      <alignment horizontal="right"/>
    </xf>
    <xf numFmtId="0" fontId="3" fillId="19" borderId="0" xfId="49" applyFont="1" applyFill="1" applyAlignment="1">
      <alignment horizontal="center"/>
    </xf>
    <xf numFmtId="170" fontId="3" fillId="19" borderId="0" xfId="49" applyNumberFormat="1" applyFont="1" applyFill="1" applyAlignment="1">
      <alignment horizontal="center"/>
    </xf>
    <xf numFmtId="0" fontId="4" fillId="19" borderId="0" xfId="49" applyFont="1" applyFill="1"/>
    <xf numFmtId="0" fontId="16" fillId="19" borderId="0" xfId="49" applyFont="1" applyFill="1" applyBorder="1" applyAlignment="1">
      <alignment horizontal="left"/>
    </xf>
    <xf numFmtId="0" fontId="3" fillId="19" borderId="0" xfId="49" applyFont="1" applyFill="1" applyBorder="1" applyAlignment="1">
      <alignment horizontal="centerContinuous"/>
    </xf>
    <xf numFmtId="165" fontId="3" fillId="19" borderId="0" xfId="31" applyNumberFormat="1" applyFont="1" applyFill="1" applyBorder="1"/>
    <xf numFmtId="0" fontId="2" fillId="19" borderId="0" xfId="49" applyFont="1" applyFill="1" applyBorder="1" applyAlignment="1">
      <alignment horizontal="left"/>
    </xf>
    <xf numFmtId="165" fontId="2" fillId="19" borderId="0" xfId="31" applyNumberFormat="1" applyFont="1" applyFill="1" applyBorder="1"/>
    <xf numFmtId="0" fontId="13" fillId="19" borderId="0" xfId="49" applyFont="1" applyFill="1" applyBorder="1" applyAlignment="1">
      <alignment horizontal="right"/>
    </xf>
    <xf numFmtId="164" fontId="2" fillId="19" borderId="0" xfId="31" applyNumberFormat="1" applyFont="1" applyFill="1" applyBorder="1"/>
    <xf numFmtId="169" fontId="2" fillId="19" borderId="0" xfId="31" applyNumberFormat="1" applyFont="1" applyFill="1" applyBorder="1"/>
    <xf numFmtId="170" fontId="2" fillId="19" borderId="0" xfId="31" applyNumberFormat="1" applyFont="1" applyFill="1" applyBorder="1"/>
    <xf numFmtId="0" fontId="2" fillId="19" borderId="0" xfId="49" applyFont="1" applyFill="1" applyBorder="1" applyAlignment="1">
      <alignment horizontal="centerContinuous"/>
    </xf>
    <xf numFmtId="0" fontId="2" fillId="19" borderId="0" xfId="49" applyFont="1" applyFill="1" applyBorder="1"/>
    <xf numFmtId="0" fontId="2" fillId="19" borderId="0" xfId="49" applyFont="1" applyFill="1"/>
    <xf numFmtId="169" fontId="6" fillId="19" borderId="0" xfId="49" applyNumberFormat="1" applyFont="1" applyFill="1" applyAlignment="1">
      <alignment horizontal="right"/>
    </xf>
    <xf numFmtId="170" fontId="6" fillId="19" borderId="0" xfId="49" applyNumberFormat="1" applyFont="1" applyFill="1" applyAlignment="1">
      <alignment horizontal="right"/>
    </xf>
    <xf numFmtId="170" fontId="31" fillId="19" borderId="0" xfId="49" applyNumberFormat="1" applyFont="1" applyFill="1" applyAlignment="1">
      <alignment horizontal="right"/>
    </xf>
    <xf numFmtId="169" fontId="3" fillId="19" borderId="0" xfId="49" applyNumberFormat="1" applyFill="1" applyAlignment="1">
      <alignment horizontal="right"/>
    </xf>
    <xf numFmtId="170" fontId="3" fillId="19" borderId="0" xfId="49" applyNumberFormat="1" applyFill="1" applyAlignment="1">
      <alignment horizontal="right"/>
    </xf>
    <xf numFmtId="170" fontId="31" fillId="19" borderId="0" xfId="49" applyNumberFormat="1" applyFont="1" applyFill="1"/>
    <xf numFmtId="164" fontId="2" fillId="19" borderId="0" xfId="49" applyNumberFormat="1" applyFont="1" applyFill="1"/>
    <xf numFmtId="0" fontId="3" fillId="19" borderId="10" xfId="49" applyFont="1" applyFill="1" applyBorder="1"/>
    <xf numFmtId="164" fontId="3" fillId="19" borderId="10" xfId="49" applyNumberFormat="1" applyFont="1" applyFill="1" applyBorder="1" applyAlignment="1">
      <alignment horizontal="center"/>
    </xf>
    <xf numFmtId="169" fontId="3" fillId="19" borderId="10" xfId="49" applyNumberFormat="1" applyFont="1" applyFill="1" applyBorder="1" applyAlignment="1">
      <alignment horizontal="center"/>
    </xf>
    <xf numFmtId="170" fontId="3" fillId="19" borderId="10" xfId="49" applyNumberFormat="1" applyFont="1" applyFill="1" applyBorder="1" applyAlignment="1">
      <alignment horizontal="center"/>
    </xf>
    <xf numFmtId="170" fontId="3" fillId="19" borderId="10" xfId="49" applyNumberFormat="1" applyFont="1" applyFill="1" applyBorder="1"/>
    <xf numFmtId="0" fontId="3" fillId="19" borderId="0" xfId="49" applyFont="1" applyFill="1" applyAlignment="1">
      <alignment horizontal="left"/>
    </xf>
    <xf numFmtId="0" fontId="3" fillId="0" borderId="0" xfId="0" applyFont="1" applyFill="1"/>
    <xf numFmtId="0" fontId="3" fillId="0" borderId="0" xfId="44" applyFont="1" applyFill="1"/>
    <xf numFmtId="0" fontId="68" fillId="0" borderId="0" xfId="46" applyFont="1" applyFill="1"/>
    <xf numFmtId="165" fontId="25" fillId="0" borderId="0" xfId="28" applyNumberFormat="1" applyFont="1" applyFill="1" applyBorder="1"/>
    <xf numFmtId="165" fontId="3" fillId="0" borderId="0" xfId="28" applyNumberFormat="1" applyFont="1" applyAlignment="1">
      <alignment horizontal="right"/>
    </xf>
    <xf numFmtId="165" fontId="6" fillId="19" borderId="0" xfId="28" applyNumberFormat="1" applyFont="1" applyFill="1" applyBorder="1"/>
    <xf numFmtId="0" fontId="4" fillId="19" borderId="0" xfId="0" applyFont="1" applyFill="1"/>
    <xf numFmtId="165" fontId="3" fillId="19" borderId="10" xfId="28" applyNumberFormat="1" applyFill="1" applyBorder="1"/>
    <xf numFmtId="165" fontId="3" fillId="19" borderId="0" xfId="28" applyNumberFormat="1" applyFill="1" applyBorder="1"/>
    <xf numFmtId="0" fontId="4" fillId="19" borderId="0" xfId="50" applyFont="1" applyFill="1"/>
    <xf numFmtId="0" fontId="3" fillId="19" borderId="0" xfId="50" applyFill="1"/>
    <xf numFmtId="49" fontId="3" fillId="19" borderId="10" xfId="50" applyNumberFormat="1" applyFont="1" applyFill="1" applyBorder="1"/>
    <xf numFmtId="49" fontId="3" fillId="19" borderId="0" xfId="50" applyNumberFormat="1" applyFont="1" applyFill="1" applyBorder="1"/>
    <xf numFmtId="0" fontId="6" fillId="19" borderId="13" xfId="28" applyNumberFormat="1" applyFont="1" applyFill="1" applyBorder="1" applyAlignment="1">
      <alignment horizontal="center"/>
    </xf>
    <xf numFmtId="0" fontId="6" fillId="19" borderId="11" xfId="28" applyNumberFormat="1" applyFont="1" applyFill="1" applyBorder="1" applyAlignment="1">
      <alignment horizontal="centerContinuous"/>
    </xf>
    <xf numFmtId="165" fontId="6" fillId="19" borderId="11" xfId="28" applyNumberFormat="1" applyFont="1" applyFill="1" applyBorder="1" applyAlignment="1">
      <alignment horizontal="centerContinuous"/>
    </xf>
    <xf numFmtId="0" fontId="6" fillId="19" borderId="11" xfId="28" applyNumberFormat="1" applyFont="1" applyFill="1" applyBorder="1" applyAlignment="1">
      <alignment horizontal="center"/>
    </xf>
    <xf numFmtId="0" fontId="6" fillId="19" borderId="10" xfId="50" applyFont="1" applyFill="1" applyBorder="1" applyAlignment="1">
      <alignment horizontal="left"/>
    </xf>
    <xf numFmtId="0" fontId="3" fillId="19" borderId="10" xfId="50" applyFill="1" applyBorder="1"/>
    <xf numFmtId="165" fontId="2" fillId="19" borderId="10" xfId="28" applyNumberFormat="1" applyFont="1" applyFill="1" applyBorder="1" applyAlignment="1">
      <alignment horizontal="right"/>
    </xf>
    <xf numFmtId="0" fontId="6" fillId="19" borderId="0" xfId="50" applyFont="1" applyFill="1" applyBorder="1" applyAlignment="1">
      <alignment horizontal="left"/>
    </xf>
    <xf numFmtId="165" fontId="2" fillId="19" borderId="0" xfId="28" applyNumberFormat="1" applyFont="1" applyFill="1" applyBorder="1"/>
    <xf numFmtId="49" fontId="6" fillId="19" borderId="0" xfId="50" applyNumberFormat="1" applyFont="1" applyFill="1" applyBorder="1"/>
    <xf numFmtId="0" fontId="3" fillId="19" borderId="0" xfId="50" applyFill="1" applyBorder="1"/>
    <xf numFmtId="0" fontId="6" fillId="19" borderId="0" xfId="50" applyFont="1" applyFill="1"/>
    <xf numFmtId="0" fontId="7" fillId="19" borderId="0" xfId="50" applyFont="1" applyFill="1"/>
    <xf numFmtId="0" fontId="3" fillId="19" borderId="0" xfId="50" applyFont="1" applyFill="1"/>
    <xf numFmtId="0" fontId="0" fillId="19" borderId="14" xfId="0" applyFill="1" applyBorder="1"/>
    <xf numFmtId="0" fontId="67" fillId="19" borderId="13" xfId="0" applyFon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15" xfId="0" applyFill="1" applyBorder="1"/>
    <xf numFmtId="3" fontId="0" fillId="19" borderId="0" xfId="0" applyNumberFormat="1" applyFill="1" applyBorder="1" applyAlignment="1">
      <alignment horizontal="center"/>
    </xf>
    <xf numFmtId="0" fontId="67" fillId="19" borderId="16" xfId="0" applyFont="1" applyFill="1" applyBorder="1"/>
    <xf numFmtId="3" fontId="67" fillId="19" borderId="10" xfId="0" applyNumberFormat="1" applyFont="1" applyFill="1" applyBorder="1" applyAlignment="1">
      <alignment horizontal="center"/>
    </xf>
    <xf numFmtId="3" fontId="0" fillId="19" borderId="10" xfId="0" applyNumberFormat="1" applyFill="1" applyBorder="1" applyAlignment="1">
      <alignment horizontal="center"/>
    </xf>
    <xf numFmtId="0" fontId="67" fillId="19" borderId="13" xfId="0" applyFont="1" applyFill="1" applyBorder="1"/>
    <xf numFmtId="3" fontId="0" fillId="19" borderId="17" xfId="0" applyNumberFormat="1" applyFill="1" applyBorder="1" applyAlignment="1">
      <alignment horizontal="center"/>
    </xf>
    <xf numFmtId="0" fontId="67" fillId="19" borderId="0" xfId="0" applyFont="1" applyFill="1" applyBorder="1" applyAlignment="1">
      <alignment horizontal="center"/>
    </xf>
    <xf numFmtId="3" fontId="67" fillId="19" borderId="0" xfId="0" applyNumberFormat="1" applyFont="1" applyFill="1" applyBorder="1" applyAlignment="1">
      <alignment horizontal="center"/>
    </xf>
    <xf numFmtId="3" fontId="0" fillId="19" borderId="18" xfId="0" applyNumberFormat="1" applyFill="1" applyBorder="1" applyAlignment="1">
      <alignment horizontal="center"/>
    </xf>
    <xf numFmtId="3" fontId="0" fillId="19" borderId="13" xfId="0" applyNumberFormat="1" applyFill="1" applyBorder="1" applyAlignment="1">
      <alignment horizontal="center"/>
    </xf>
    <xf numFmtId="3" fontId="67" fillId="19" borderId="19" xfId="0" applyNumberFormat="1" applyFont="1" applyFill="1" applyBorder="1" applyAlignment="1">
      <alignment horizontal="center"/>
    </xf>
    <xf numFmtId="0" fontId="0" fillId="19" borderId="13" xfId="0" applyFill="1" applyBorder="1"/>
    <xf numFmtId="0" fontId="67" fillId="19" borderId="0" xfId="0" applyFont="1" applyFill="1" applyBorder="1"/>
    <xf numFmtId="0" fontId="67" fillId="19" borderId="10" xfId="0" applyFont="1" applyFill="1" applyBorder="1"/>
    <xf numFmtId="165" fontId="3" fillId="19" borderId="10" xfId="28" applyNumberFormat="1" applyFill="1" applyBorder="1"/>
    <xf numFmtId="0" fontId="74" fillId="19" borderId="0" xfId="0" applyFont="1" applyFill="1" applyBorder="1" applyAlignment="1"/>
    <xf numFmtId="0" fontId="60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0" fillId="0" borderId="0" xfId="0" applyFont="1" applyFill="1"/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6" fillId="0" borderId="0" xfId="44" applyFont="1" applyFill="1" applyBorder="1" applyAlignment="1">
      <alignment horizontal="left" wrapText="1"/>
    </xf>
    <xf numFmtId="0" fontId="3" fillId="0" borderId="0" xfId="44" applyFont="1" applyFill="1" applyBorder="1" applyAlignment="1">
      <alignment horizontal="left"/>
    </xf>
    <xf numFmtId="0" fontId="3" fillId="0" borderId="0" xfId="44" applyFont="1" applyFill="1" applyBorder="1" applyAlignment="1">
      <alignment horizontal="right"/>
    </xf>
    <xf numFmtId="0" fontId="3" fillId="0" borderId="0" xfId="44" applyFont="1" applyFill="1" applyBorder="1"/>
    <xf numFmtId="0" fontId="12" fillId="0" borderId="0" xfId="44" applyFont="1" applyFill="1"/>
    <xf numFmtId="0" fontId="6" fillId="0" borderId="0" xfId="0" applyFont="1" applyFill="1" applyBorder="1" applyAlignment="1">
      <alignment horizontal="left"/>
    </xf>
    <xf numFmtId="165" fontId="6" fillId="0" borderId="0" xfId="28" applyNumberFormat="1" applyFont="1" applyFill="1" applyBorder="1"/>
    <xf numFmtId="165" fontId="3" fillId="0" borderId="0" xfId="28" applyNumberFormat="1" applyFont="1" applyFill="1"/>
    <xf numFmtId="0" fontId="3" fillId="0" borderId="0" xfId="0" applyFont="1" applyFill="1" applyBorder="1" applyAlignment="1">
      <alignment horizontal="left"/>
    </xf>
    <xf numFmtId="165" fontId="12" fillId="0" borderId="0" xfId="0" applyNumberFormat="1" applyFont="1" applyFill="1"/>
    <xf numFmtId="1" fontId="3" fillId="0" borderId="0" xfId="44" applyNumberFormat="1" applyFont="1" applyFill="1"/>
    <xf numFmtId="0" fontId="6" fillId="0" borderId="0" xfId="0" applyFont="1" applyFill="1" applyBorder="1" applyAlignment="1">
      <alignment horizontal="center"/>
    </xf>
    <xf numFmtId="0" fontId="3" fillId="0" borderId="0" xfId="44" applyFont="1" applyFill="1" applyBorder="1" applyAlignment="1">
      <alignment horizontal="center"/>
    </xf>
    <xf numFmtId="0" fontId="3" fillId="0" borderId="0" xfId="44" applyFont="1" applyFill="1" applyAlignment="1">
      <alignment horizontal="right"/>
    </xf>
    <xf numFmtId="0" fontId="6" fillId="0" borderId="0" xfId="44" applyFont="1" applyFill="1" applyBorder="1" applyAlignment="1">
      <alignment horizontal="right"/>
    </xf>
    <xf numFmtId="0" fontId="3" fillId="0" borderId="10" xfId="0" applyFont="1" applyFill="1" applyBorder="1"/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9" fillId="0" borderId="0" xfId="0" applyFont="1" applyFill="1" applyBorder="1"/>
    <xf numFmtId="0" fontId="9" fillId="0" borderId="0" xfId="0" applyFont="1" applyFill="1"/>
    <xf numFmtId="0" fontId="3" fillId="0" borderId="0" xfId="0" applyFont="1" applyFill="1" applyAlignment="1"/>
    <xf numFmtId="0" fontId="10" fillId="0" borderId="0" xfId="0" applyFont="1" applyFill="1" applyAlignment="1">
      <alignment horizontal="right"/>
    </xf>
    <xf numFmtId="0" fontId="6" fillId="0" borderId="11" xfId="0" applyFont="1" applyFill="1" applyBorder="1" applyAlignment="1">
      <alignment horizontal="left"/>
    </xf>
    <xf numFmtId="0" fontId="4" fillId="0" borderId="0" xfId="0" applyFont="1" applyFill="1" applyAlignment="1"/>
    <xf numFmtId="0" fontId="53" fillId="0" borderId="0" xfId="46" applyFont="1" applyFill="1" applyAlignment="1">
      <alignment vertical="center"/>
    </xf>
    <xf numFmtId="0" fontId="6" fillId="0" borderId="0" xfId="0" applyFont="1" applyFill="1" applyAlignment="1">
      <alignment vertical="top" wrapText="1"/>
    </xf>
    <xf numFmtId="0" fontId="53" fillId="0" borderId="0" xfId="46" applyFont="1" applyFill="1"/>
    <xf numFmtId="0" fontId="24" fillId="0" borderId="11" xfId="46" applyFont="1" applyFill="1" applyBorder="1"/>
    <xf numFmtId="0" fontId="69" fillId="0" borderId="11" xfId="46" applyFont="1" applyFill="1" applyBorder="1"/>
    <xf numFmtId="0" fontId="24" fillId="0" borderId="11" xfId="46" applyFont="1" applyFill="1" applyBorder="1" applyAlignment="1">
      <alignment horizontal="right"/>
    </xf>
    <xf numFmtId="0" fontId="24" fillId="0" borderId="0" xfId="46" applyFont="1" applyFill="1" applyBorder="1"/>
    <xf numFmtId="0" fontId="69" fillId="0" borderId="0" xfId="46" applyFont="1" applyFill="1"/>
    <xf numFmtId="165" fontId="53" fillId="0" borderId="0" xfId="28" applyNumberFormat="1" applyFont="1" applyFill="1" applyBorder="1"/>
    <xf numFmtId="0" fontId="3" fillId="0" borderId="0" xfId="44" applyFont="1" applyFill="1" applyBorder="1" applyAlignment="1">
      <alignment horizontal="left" indent="2"/>
    </xf>
    <xf numFmtId="165" fontId="54" fillId="0" borderId="0" xfId="28" applyNumberFormat="1" applyFont="1" applyFill="1" applyBorder="1"/>
    <xf numFmtId="0" fontId="3" fillId="0" borderId="0" xfId="0" applyFont="1" applyFill="1" applyBorder="1" applyAlignment="1">
      <alignment horizontal="left" indent="2"/>
    </xf>
    <xf numFmtId="0" fontId="69" fillId="0" borderId="0" xfId="46" applyFont="1" applyFill="1" applyBorder="1"/>
    <xf numFmtId="37" fontId="10" fillId="0" borderId="0" xfId="28" applyNumberFormat="1" applyFont="1" applyFill="1"/>
    <xf numFmtId="0" fontId="69" fillId="0" borderId="10" xfId="46" applyFont="1" applyFill="1" applyBorder="1"/>
    <xf numFmtId="0" fontId="68" fillId="0" borderId="10" xfId="46" applyFont="1" applyFill="1" applyBorder="1"/>
    <xf numFmtId="0" fontId="68" fillId="0" borderId="0" xfId="46" applyFont="1" applyFill="1" applyAlignment="1">
      <alignment horizontal="left"/>
    </xf>
    <xf numFmtId="0" fontId="68" fillId="0" borderId="0" xfId="46" applyFont="1" applyFill="1" applyAlignment="1">
      <alignment wrapText="1"/>
    </xf>
    <xf numFmtId="0" fontId="68" fillId="0" borderId="0" xfId="46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6" fillId="0" borderId="0" xfId="49" applyFont="1" applyFill="1" applyAlignment="1">
      <alignment horizontal="right"/>
    </xf>
    <xf numFmtId="0" fontId="4" fillId="19" borderId="0" xfId="49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/>
    </xf>
    <xf numFmtId="0" fontId="6" fillId="19" borderId="11" xfId="28" applyNumberFormat="1" applyFont="1" applyFill="1" applyBorder="1" applyAlignment="1">
      <alignment horizontal="center"/>
    </xf>
    <xf numFmtId="0" fontId="3" fillId="19" borderId="13" xfId="50" applyFill="1" applyBorder="1" applyAlignment="1">
      <alignment horizontal="center"/>
    </xf>
    <xf numFmtId="165" fontId="3" fillId="19" borderId="0" xfId="28" applyNumberFormat="1" applyFill="1"/>
    <xf numFmtId="0" fontId="4" fillId="19" borderId="0" xfId="50" applyFont="1" applyFill="1" applyAlignment="1">
      <alignment horizontal="center"/>
    </xf>
    <xf numFmtId="0" fontId="6" fillId="19" borderId="11" xfId="50" applyFont="1" applyFill="1" applyBorder="1" applyAlignment="1">
      <alignment horizontal="center"/>
    </xf>
    <xf numFmtId="165" fontId="6" fillId="19" borderId="0" xfId="28" applyNumberFormat="1" applyFont="1" applyFill="1"/>
    <xf numFmtId="0" fontId="3" fillId="19" borderId="0" xfId="50" applyFill="1" applyAlignment="1">
      <alignment horizontal="left"/>
    </xf>
    <xf numFmtId="165" fontId="3" fillId="19" borderId="10" xfId="28" applyNumberFormat="1" applyFill="1" applyBorder="1"/>
    <xf numFmtId="0" fontId="74" fillId="19" borderId="0" xfId="0" applyFont="1" applyFill="1" applyBorder="1" applyAlignment="1">
      <alignment horizontal="center"/>
    </xf>
    <xf numFmtId="0" fontId="67" fillId="19" borderId="11" xfId="0" applyFont="1" applyFill="1" applyBorder="1" applyAlignment="1">
      <alignment horizontal="center"/>
    </xf>
    <xf numFmtId="0" fontId="67" fillId="19" borderId="24" xfId="0" applyFont="1" applyFill="1" applyBorder="1" applyAlignment="1">
      <alignment horizontal="center"/>
    </xf>
    <xf numFmtId="0" fontId="67" fillId="19" borderId="23" xfId="0" applyFont="1" applyFill="1" applyBorder="1" applyAlignment="1">
      <alignment horizontal="center"/>
    </xf>
    <xf numFmtId="0" fontId="67" fillId="19" borderId="13" xfId="0" applyNumberFormat="1" applyFont="1" applyFill="1" applyBorder="1" applyAlignment="1">
      <alignment horizontal="center"/>
    </xf>
    <xf numFmtId="0" fontId="74" fillId="19" borderId="10" xfId="0" applyFont="1" applyFill="1" applyBorder="1" applyAlignment="1">
      <alignment horizontal="center"/>
    </xf>
    <xf numFmtId="0" fontId="10" fillId="0" borderId="0" xfId="44" applyFont="1" applyFill="1" applyAlignment="1">
      <alignment horizontal="right"/>
    </xf>
    <xf numFmtId="0" fontId="71" fillId="0" borderId="0" xfId="46" applyFont="1" applyFill="1" applyAlignment="1">
      <alignment vertical="top"/>
    </xf>
    <xf numFmtId="0" fontId="70" fillId="0" borderId="13" xfId="46" applyFont="1" applyFill="1" applyBorder="1" applyAlignment="1">
      <alignment horizontal="left" wrapText="1"/>
    </xf>
    <xf numFmtId="0" fontId="70" fillId="0" borderId="11" xfId="46" applyFont="1" applyFill="1" applyBorder="1" applyAlignment="1">
      <alignment horizontal="center"/>
    </xf>
    <xf numFmtId="0" fontId="70" fillId="0" borderId="10" xfId="46" applyFont="1" applyFill="1" applyBorder="1" applyAlignment="1">
      <alignment horizontal="left" wrapText="1"/>
    </xf>
    <xf numFmtId="0" fontId="69" fillId="0" borderId="0" xfId="46" applyNumberFormat="1" applyFont="1" applyFill="1" applyBorder="1" applyAlignment="1">
      <alignment horizontal="center" wrapText="1"/>
    </xf>
    <xf numFmtId="0" fontId="70" fillId="0" borderId="0" xfId="46" applyFont="1" applyFill="1" applyBorder="1" applyAlignment="1">
      <alignment horizontal="center" wrapText="1"/>
    </xf>
    <xf numFmtId="0" fontId="69" fillId="0" borderId="12" xfId="46" applyFont="1" applyFill="1" applyBorder="1"/>
    <xf numFmtId="165" fontId="69" fillId="0" borderId="12" xfId="28" applyNumberFormat="1" applyFont="1" applyFill="1" applyBorder="1"/>
    <xf numFmtId="165" fontId="70" fillId="0" borderId="12" xfId="28" applyNumberFormat="1" applyFont="1" applyFill="1" applyBorder="1"/>
    <xf numFmtId="0" fontId="70" fillId="0" borderId="12" xfId="46" applyFont="1" applyFill="1" applyBorder="1"/>
    <xf numFmtId="165" fontId="69" fillId="0" borderId="12" xfId="28" quotePrefix="1" applyNumberFormat="1" applyFont="1" applyFill="1" applyBorder="1"/>
    <xf numFmtId="0" fontId="87" fillId="0" borderId="0" xfId="46" applyFont="1" applyFill="1" applyBorder="1" applyAlignment="1">
      <alignment horizontal="center" vertical="top"/>
    </xf>
    <xf numFmtId="0" fontId="70" fillId="0" borderId="10" xfId="46" applyFont="1" applyFill="1" applyBorder="1" applyAlignment="1">
      <alignment horizontal="center"/>
    </xf>
    <xf numFmtId="0" fontId="68" fillId="0" borderId="0" xfId="46" applyFont="1" applyFill="1" applyBorder="1"/>
    <xf numFmtId="0" fontId="70" fillId="0" borderId="11" xfId="46" applyFont="1" applyFill="1" applyBorder="1" applyAlignment="1">
      <alignment horizontal="left" wrapText="1"/>
    </xf>
    <xf numFmtId="0" fontId="6" fillId="0" borderId="0" xfId="0" applyFont="1" applyFill="1"/>
    <xf numFmtId="0" fontId="19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0" fillId="0" borderId="11" xfId="0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/>
    </xf>
    <xf numFmtId="37" fontId="0" fillId="0" borderId="0" xfId="0" applyNumberFormat="1" applyFill="1" applyBorder="1"/>
    <xf numFmtId="37" fontId="3" fillId="0" borderId="0" xfId="28" applyNumberFormat="1" applyFont="1" applyFill="1" applyBorder="1"/>
    <xf numFmtId="37" fontId="6" fillId="0" borderId="0" xfId="28" applyNumberFormat="1" applyFont="1" applyFill="1" applyBorder="1"/>
    <xf numFmtId="165" fontId="0" fillId="0" borderId="0" xfId="28" applyNumberFormat="1" applyFont="1" applyFill="1"/>
    <xf numFmtId="165" fontId="0" fillId="0" borderId="0" xfId="0" applyNumberFormat="1" applyFill="1"/>
    <xf numFmtId="37" fontId="6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Alignment="1">
      <alignment horizontal="centerContinuous"/>
    </xf>
    <xf numFmtId="166" fontId="0" fillId="0" borderId="0" xfId="0" applyNumberFormat="1" applyFill="1" applyAlignment="1"/>
    <xf numFmtId="39" fontId="0" fillId="0" borderId="0" xfId="0" applyNumberFormat="1" applyFill="1" applyBorder="1"/>
    <xf numFmtId="165" fontId="6" fillId="0" borderId="0" xfId="0" applyNumberFormat="1" applyFont="1" applyFill="1"/>
    <xf numFmtId="0" fontId="12" fillId="0" borderId="10" xfId="0" applyFont="1" applyFill="1" applyBorder="1"/>
    <xf numFmtId="39" fontId="0" fillId="0" borderId="10" xfId="0" applyNumberFormat="1" applyFill="1" applyBorder="1"/>
    <xf numFmtId="39" fontId="6" fillId="0" borderId="10" xfId="0" applyNumberFormat="1" applyFont="1" applyFill="1" applyBorder="1"/>
    <xf numFmtId="37" fontId="0" fillId="0" borderId="10" xfId="0" applyNumberFormat="1" applyFill="1" applyBorder="1"/>
    <xf numFmtId="37" fontId="0" fillId="0" borderId="0" xfId="0" applyNumberFormat="1" applyFill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165" fontId="3" fillId="0" borderId="0" xfId="28" applyNumberFormat="1" applyFont="1" applyFill="1" applyAlignment="1">
      <alignment horizontal="center"/>
    </xf>
    <xf numFmtId="165" fontId="6" fillId="0" borderId="0" xfId="28" applyNumberFormat="1" applyFont="1" applyFill="1" applyAlignment="1">
      <alignment horizontal="center"/>
    </xf>
    <xf numFmtId="37" fontId="6" fillId="0" borderId="0" xfId="0" applyNumberFormat="1" applyFont="1" applyFill="1"/>
    <xf numFmtId="165" fontId="3" fillId="0" borderId="0" xfId="28" applyNumberFormat="1" applyFont="1" applyFill="1" applyBorder="1" applyAlignment="1">
      <alignment horizontal="center"/>
    </xf>
    <xf numFmtId="165" fontId="3" fillId="0" borderId="10" xfId="28" applyNumberFormat="1" applyFont="1" applyFill="1" applyBorder="1" applyAlignment="1">
      <alignment horizontal="center"/>
    </xf>
    <xf numFmtId="39" fontId="3" fillId="0" borderId="10" xfId="28" applyNumberFormat="1" applyFont="1" applyFill="1" applyBorder="1"/>
    <xf numFmtId="39" fontId="6" fillId="0" borderId="10" xfId="28" applyNumberFormat="1" applyFont="1" applyFill="1" applyBorder="1"/>
    <xf numFmtId="39" fontId="3" fillId="0" borderId="0" xfId="28" applyNumberFormat="1" applyFont="1" applyFill="1" applyBorder="1"/>
    <xf numFmtId="39" fontId="6" fillId="0" borderId="0" xfId="28" applyNumberFormat="1" applyFont="1" applyFill="1" applyBorder="1"/>
    <xf numFmtId="37" fontId="3" fillId="0" borderId="0" xfId="0" applyNumberFormat="1" applyFont="1" applyFill="1" applyBorder="1"/>
    <xf numFmtId="0" fontId="20" fillId="0" borderId="0" xfId="0" applyFont="1" applyFill="1" applyAlignment="1">
      <alignment horizontal="left"/>
    </xf>
    <xf numFmtId="37" fontId="5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0" fontId="24" fillId="0" borderId="12" xfId="46" applyFont="1" applyFill="1" applyBorder="1"/>
    <xf numFmtId="0" fontId="24" fillId="0" borderId="12" xfId="46" applyFont="1" applyFill="1" applyBorder="1" applyAlignment="1">
      <alignment horizontal="center"/>
    </xf>
    <xf numFmtId="165" fontId="24" fillId="0" borderId="12" xfId="28" applyNumberFormat="1" applyFont="1" applyFill="1" applyBorder="1"/>
    <xf numFmtId="0" fontId="69" fillId="0" borderId="12" xfId="46" applyFont="1" applyFill="1" applyBorder="1" applyAlignment="1">
      <alignment horizontal="left" indent="2"/>
    </xf>
    <xf numFmtId="165" fontId="68" fillId="0" borderId="0" xfId="46" applyNumberFormat="1" applyFont="1" applyFill="1"/>
    <xf numFmtId="0" fontId="83" fillId="0" borderId="0" xfId="46" applyFont="1" applyFill="1"/>
    <xf numFmtId="165" fontId="25" fillId="0" borderId="12" xfId="28" applyNumberFormat="1" applyFont="1" applyFill="1" applyBorder="1"/>
    <xf numFmtId="37" fontId="6" fillId="0" borderId="12" xfId="28" applyNumberFormat="1" applyFont="1" applyFill="1" applyBorder="1"/>
    <xf numFmtId="165" fontId="3" fillId="0" borderId="12" xfId="28" applyNumberFormat="1" applyFont="1" applyFill="1" applyBorder="1"/>
    <xf numFmtId="165" fontId="3" fillId="0" borderId="12" xfId="28" applyNumberFormat="1" applyFont="1" applyFill="1" applyBorder="1" applyAlignment="1">
      <alignment horizontal="center"/>
    </xf>
    <xf numFmtId="0" fontId="69" fillId="0" borderId="0" xfId="46" applyFont="1" applyFill="1" applyAlignment="1">
      <alignment horizontal="left"/>
    </xf>
    <xf numFmtId="0" fontId="69" fillId="0" borderId="0" xfId="46" applyFont="1" applyFill="1" applyAlignment="1">
      <alignment horizontal="left" vertical="top" wrapText="1"/>
    </xf>
    <xf numFmtId="0" fontId="69" fillId="0" borderId="0" xfId="46" applyFont="1" applyFill="1" applyAlignment="1">
      <alignment horizontal="left" vertical="top" wrapText="1"/>
    </xf>
    <xf numFmtId="0" fontId="69" fillId="0" borderId="0" xfId="46" applyFont="1" applyFill="1" applyAlignment="1">
      <alignment horizontal="left" vertical="top"/>
    </xf>
    <xf numFmtId="0" fontId="71" fillId="0" borderId="0" xfId="46" applyFont="1" applyFill="1"/>
    <xf numFmtId="0" fontId="53" fillId="0" borderId="0" xfId="46" applyFont="1" applyFill="1" applyBorder="1"/>
    <xf numFmtId="0" fontId="72" fillId="0" borderId="0" xfId="46" applyFont="1" applyFill="1"/>
    <xf numFmtId="0" fontId="66" fillId="0" borderId="0" xfId="46" applyFill="1"/>
    <xf numFmtId="0" fontId="70" fillId="0" borderId="0" xfId="46" applyFont="1" applyFill="1" applyBorder="1" applyAlignment="1">
      <alignment horizontal="center"/>
    </xf>
    <xf numFmtId="0" fontId="66" fillId="0" borderId="12" xfId="46" applyFill="1" applyBorder="1"/>
    <xf numFmtId="0" fontId="67" fillId="0" borderId="12" xfId="46" applyFont="1" applyFill="1" applyBorder="1" applyAlignment="1">
      <alignment horizontal="center" wrapText="1"/>
    </xf>
    <xf numFmtId="0" fontId="67" fillId="0" borderId="12" xfId="46" applyFont="1" applyFill="1" applyBorder="1" applyAlignment="1">
      <alignment horizontal="center"/>
    </xf>
    <xf numFmtId="165" fontId="66" fillId="0" borderId="12" xfId="28" applyNumberFormat="1" applyFont="1" applyFill="1" applyBorder="1"/>
    <xf numFmtId="165" fontId="67" fillId="0" borderId="12" xfId="28" applyNumberFormat="1" applyFont="1" applyFill="1" applyBorder="1"/>
    <xf numFmtId="0" fontId="66" fillId="0" borderId="0" xfId="46" applyFill="1" applyBorder="1"/>
    <xf numFmtId="0" fontId="67" fillId="0" borderId="0" xfId="46" applyFont="1" applyFill="1" applyBorder="1"/>
    <xf numFmtId="0" fontId="72" fillId="0" borderId="0" xfId="46" applyFont="1" applyFill="1" applyAlignment="1">
      <alignment horizontal="left"/>
    </xf>
    <xf numFmtId="0" fontId="67" fillId="0" borderId="0" xfId="46" applyFont="1" applyFill="1"/>
    <xf numFmtId="0" fontId="75" fillId="0" borderId="0" xfId="46" applyFont="1" applyFill="1" applyBorder="1"/>
    <xf numFmtId="0" fontId="73" fillId="0" borderId="0" xfId="46" applyFont="1" applyFill="1" applyBorder="1"/>
    <xf numFmtId="0" fontId="71" fillId="0" borderId="0" xfId="46" applyFont="1" applyFill="1" applyBorder="1"/>
    <xf numFmtId="0" fontId="70" fillId="0" borderId="0" xfId="46" applyFont="1" applyFill="1" applyBorder="1" applyAlignment="1"/>
    <xf numFmtId="0" fontId="68" fillId="0" borderId="0" xfId="46" applyFont="1" applyFill="1" applyAlignment="1">
      <alignment horizontal="left" wrapText="1"/>
    </xf>
    <xf numFmtId="0" fontId="68" fillId="0" borderId="0" xfId="46" applyFont="1" applyFill="1" applyAlignment="1"/>
    <xf numFmtId="0" fontId="68" fillId="0" borderId="0" xfId="46" applyFont="1" applyFill="1" applyAlignment="1">
      <alignment horizontal="center" wrapText="1"/>
    </xf>
    <xf numFmtId="0" fontId="68" fillId="0" borderId="0" xfId="46" applyFont="1" applyFill="1" applyAlignment="1">
      <alignment horizontal="left" wrapText="1"/>
    </xf>
    <xf numFmtId="0" fontId="71" fillId="0" borderId="0" xfId="46" applyFont="1" applyFill="1" applyAlignment="1">
      <alignment horizontal="center"/>
    </xf>
    <xf numFmtId="0" fontId="71" fillId="0" borderId="0" xfId="46" applyFont="1" applyFill="1" applyAlignment="1">
      <alignment horizontal="center"/>
    </xf>
    <xf numFmtId="0" fontId="67" fillId="0" borderId="12" xfId="46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12" fillId="0" borderId="10" xfId="0" applyFont="1" applyFill="1" applyBorder="1" applyAlignment="1">
      <alignment horizontal="right"/>
    </xf>
    <xf numFmtId="0" fontId="76" fillId="0" borderId="11" xfId="0" applyFont="1" applyFill="1" applyBorder="1" applyAlignment="1">
      <alignment horizontal="right"/>
    </xf>
    <xf numFmtId="0" fontId="76" fillId="0" borderId="11" xfId="0" applyFont="1" applyFill="1" applyBorder="1"/>
    <xf numFmtId="0" fontId="77" fillId="0" borderId="0" xfId="0" applyFont="1" applyFill="1"/>
    <xf numFmtId="0" fontId="76" fillId="0" borderId="0" xfId="0" applyFont="1" applyFill="1"/>
    <xf numFmtId="165" fontId="77" fillId="0" borderId="0" xfId="28" applyNumberFormat="1" applyFont="1" applyFill="1"/>
    <xf numFmtId="165" fontId="77" fillId="0" borderId="0" xfId="28" applyNumberFormat="1" applyFont="1" applyFill="1" applyAlignment="1">
      <alignment horizontal="right"/>
    </xf>
    <xf numFmtId="43" fontId="0" fillId="0" borderId="0" xfId="0" applyNumberFormat="1" applyFill="1"/>
    <xf numFmtId="164" fontId="77" fillId="0" borderId="0" xfId="28" applyNumberFormat="1" applyFont="1" applyFill="1"/>
    <xf numFmtId="43" fontId="77" fillId="0" borderId="0" xfId="0" applyNumberFormat="1" applyFont="1" applyFill="1"/>
    <xf numFmtId="165" fontId="63" fillId="0" borderId="0" xfId="28" applyNumberFormat="1" applyFont="1" applyFill="1"/>
    <xf numFmtId="165" fontId="69" fillId="0" borderId="0" xfId="0" applyNumberFormat="1" applyFont="1" applyFill="1"/>
    <xf numFmtId="165" fontId="3" fillId="0" borderId="0" xfId="0" applyNumberFormat="1" applyFont="1" applyFill="1"/>
    <xf numFmtId="0" fontId="78" fillId="0" borderId="0" xfId="0" applyFont="1" applyFill="1"/>
    <xf numFmtId="167" fontId="0" fillId="0" borderId="0" xfId="0" applyNumberFormat="1" applyFill="1"/>
    <xf numFmtId="1" fontId="77" fillId="0" borderId="0" xfId="0" applyNumberFormat="1" applyFont="1" applyFill="1"/>
    <xf numFmtId="164" fontId="0" fillId="0" borderId="0" xfId="28" applyNumberFormat="1" applyFont="1" applyFill="1" applyAlignment="1">
      <alignment horizontal="right"/>
    </xf>
    <xf numFmtId="0" fontId="12" fillId="0" borderId="0" xfId="0" applyFont="1" applyFill="1" applyAlignment="1">
      <alignment vertical="center"/>
    </xf>
    <xf numFmtId="0" fontId="58" fillId="0" borderId="20" xfId="0" applyFont="1" applyFill="1" applyBorder="1" applyAlignment="1">
      <alignment vertical="center"/>
    </xf>
    <xf numFmtId="0" fontId="11" fillId="0" borderId="0" xfId="0" applyFont="1" applyFill="1"/>
    <xf numFmtId="0" fontId="58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right" vertical="center" wrapText="1"/>
    </xf>
    <xf numFmtId="0" fontId="77" fillId="0" borderId="10" xfId="0" applyFont="1" applyFill="1" applyBorder="1"/>
    <xf numFmtId="165" fontId="77" fillId="0" borderId="10" xfId="28" applyNumberFormat="1" applyFont="1" applyFill="1" applyBorder="1"/>
    <xf numFmtId="0" fontId="59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right" vertical="center" wrapText="1"/>
    </xf>
    <xf numFmtId="0" fontId="76" fillId="0" borderId="0" xfId="0" applyFont="1" applyFill="1" applyBorder="1"/>
    <xf numFmtId="0" fontId="3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7" fillId="0" borderId="0" xfId="0" applyFont="1" applyFill="1" applyAlignment="1">
      <alignment horizontal="left" wrapText="1"/>
    </xf>
    <xf numFmtId="0" fontId="77" fillId="0" borderId="0" xfId="0" applyFont="1" applyFill="1" applyAlignment="1"/>
    <xf numFmtId="0" fontId="19" fillId="0" borderId="0" xfId="0" applyFont="1" applyFill="1" applyAlignment="1">
      <alignment horizontal="left"/>
    </xf>
    <xf numFmtId="0" fontId="76" fillId="0" borderId="0" xfId="0" applyFont="1" applyFill="1" applyAlignment="1">
      <alignment horizontal="left" wrapText="1"/>
    </xf>
    <xf numFmtId="0" fontId="6" fillId="0" borderId="1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/>
    <xf numFmtId="0" fontId="6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167" fontId="3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left"/>
    </xf>
    <xf numFmtId="167" fontId="3" fillId="0" borderId="0" xfId="0" applyNumberFormat="1" applyFont="1" applyFill="1" applyBorder="1" applyAlignment="1">
      <alignment horizontal="center"/>
    </xf>
    <xf numFmtId="0" fontId="25" fillId="0" borderId="0" xfId="0" applyFont="1" applyFill="1"/>
    <xf numFmtId="165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3" fillId="0" borderId="0" xfId="0" applyFont="1" applyFill="1" applyAlignment="1">
      <alignment horizontal="left" vertical="top" wrapText="1"/>
    </xf>
    <xf numFmtId="0" fontId="6" fillId="0" borderId="10" xfId="0" applyFont="1" applyFill="1" applyBorder="1" applyAlignment="1">
      <alignment horizontal="right"/>
    </xf>
    <xf numFmtId="165" fontId="9" fillId="0" borderId="0" xfId="28" applyNumberFormat="1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Alignment="1">
      <alignment horizontal="left" indent="1"/>
    </xf>
    <xf numFmtId="165" fontId="3" fillId="0" borderId="0" xfId="28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28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3" fillId="0" borderId="0" xfId="28" applyNumberFormat="1" applyFont="1" applyFill="1" applyAlignment="1"/>
    <xf numFmtId="0" fontId="6" fillId="0" borderId="0" xfId="0" applyFont="1" applyFill="1" applyAlignment="1"/>
    <xf numFmtId="165" fontId="9" fillId="0" borderId="0" xfId="28" applyNumberFormat="1" applyFont="1" applyFill="1" applyAlignment="1">
      <alignment horizontal="right"/>
    </xf>
    <xf numFmtId="165" fontId="3" fillId="0" borderId="0" xfId="28" applyNumberFormat="1" applyFont="1" applyFill="1" applyAlignment="1">
      <alignment horizontal="left"/>
    </xf>
    <xf numFmtId="38" fontId="32" fillId="0" borderId="0" xfId="28" applyNumberFormat="1" applyFont="1" applyFill="1" applyAlignment="1">
      <alignment horizontal="left"/>
    </xf>
    <xf numFmtId="0" fontId="6" fillId="0" borderId="10" xfId="0" applyFont="1" applyFill="1" applyBorder="1" applyAlignment="1">
      <alignment horizontal="left" indent="1"/>
    </xf>
    <xf numFmtId="165" fontId="3" fillId="0" borderId="10" xfId="28" applyNumberFormat="1" applyFont="1" applyFill="1" applyBorder="1"/>
    <xf numFmtId="0" fontId="2" fillId="0" borderId="1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1" fillId="0" borderId="0" xfId="0" applyFont="1" applyFill="1"/>
    <xf numFmtId="0" fontId="3" fillId="0" borderId="0" xfId="0" applyFont="1" applyFill="1" applyAlignment="1">
      <alignment horizontal="left" wrapText="1"/>
    </xf>
    <xf numFmtId="0" fontId="61" fillId="0" borderId="0" xfId="0" applyFont="1" applyFill="1" applyBorder="1"/>
    <xf numFmtId="0" fontId="61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0" fontId="62" fillId="0" borderId="0" xfId="0" applyFont="1" applyFill="1"/>
    <xf numFmtId="165" fontId="62" fillId="0" borderId="0" xfId="28" applyNumberFormat="1" applyFont="1" applyFill="1"/>
    <xf numFmtId="0" fontId="4" fillId="0" borderId="0" xfId="0" applyFont="1" applyFill="1" applyAlignment="1">
      <alignment horizontal="center" wrapText="1"/>
    </xf>
    <xf numFmtId="0" fontId="15" fillId="0" borderId="0" xfId="0" applyFont="1" applyFill="1"/>
    <xf numFmtId="0" fontId="4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51" applyFont="1" applyFill="1"/>
    <xf numFmtId="0" fontId="6" fillId="0" borderId="0" xfId="0" applyFont="1" applyFill="1" applyBorder="1" applyAlignment="1">
      <alignment wrapText="1"/>
    </xf>
    <xf numFmtId="0" fontId="49" fillId="0" borderId="0" xfId="51" applyFill="1"/>
    <xf numFmtId="0" fontId="0" fillId="0" borderId="0" xfId="0" applyFill="1" applyBorder="1" applyAlignment="1">
      <alignment wrapText="1"/>
    </xf>
    <xf numFmtId="0" fontId="67" fillId="0" borderId="0" xfId="0" applyFont="1" applyFill="1" applyBorder="1" applyAlignment="1">
      <alignment horizontal="right"/>
    </xf>
    <xf numFmtId="0" fontId="66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51" applyFont="1" applyFill="1"/>
    <xf numFmtId="0" fontId="84" fillId="0" borderId="0" xfId="33" applyNumberFormat="1" applyFont="1" applyFill="1" applyBorder="1" applyAlignment="1">
      <alignment horizontal="right" wrapText="1"/>
    </xf>
    <xf numFmtId="0" fontId="2" fillId="0" borderId="0" xfId="51" applyFont="1" applyFill="1"/>
    <xf numFmtId="0" fontId="3" fillId="0" borderId="0" xfId="50" applyFill="1"/>
    <xf numFmtId="0" fontId="3" fillId="0" borderId="0" xfId="50" applyFont="1" applyFill="1"/>
    <xf numFmtId="49" fontId="6" fillId="0" borderId="0" xfId="50" applyNumberFormat="1" applyFont="1" applyFill="1" applyBorder="1"/>
    <xf numFmtId="0" fontId="4" fillId="0" borderId="0" xfId="50" applyFont="1" applyFill="1"/>
    <xf numFmtId="0" fontId="4" fillId="0" borderId="0" xfId="50" applyFont="1" applyFill="1" applyAlignment="1">
      <alignment horizontal="center"/>
    </xf>
    <xf numFmtId="49" fontId="3" fillId="0" borderId="10" xfId="50" applyNumberFormat="1" applyFont="1" applyFill="1" applyBorder="1"/>
    <xf numFmtId="49" fontId="3" fillId="0" borderId="0" xfId="50" applyNumberFormat="1" applyFont="1" applyFill="1" applyBorder="1"/>
    <xf numFmtId="0" fontId="6" fillId="0" borderId="10" xfId="50" applyFont="1" applyFill="1" applyBorder="1" applyAlignment="1">
      <alignment horizontal="left"/>
    </xf>
    <xf numFmtId="0" fontId="6" fillId="0" borderId="0" xfId="50" applyFont="1" applyFill="1" applyBorder="1" applyAlignment="1">
      <alignment horizontal="left"/>
    </xf>
    <xf numFmtId="0" fontId="6" fillId="0" borderId="0" xfId="50" applyFont="1" applyFill="1"/>
    <xf numFmtId="0" fontId="3" fillId="0" borderId="0" xfId="50" applyFill="1" applyAlignment="1">
      <alignment horizontal="centerContinuous"/>
    </xf>
    <xf numFmtId="0" fontId="6" fillId="0" borderId="26" xfId="28" applyNumberFormat="1" applyFont="1" applyFill="1" applyBorder="1" applyAlignment="1">
      <alignment horizontal="center"/>
    </xf>
    <xf numFmtId="0" fontId="6" fillId="0" borderId="25" xfId="28" applyNumberFormat="1" applyFont="1" applyFill="1" applyBorder="1" applyAlignment="1">
      <alignment horizontal="center"/>
    </xf>
    <xf numFmtId="0" fontId="6" fillId="0" borderId="27" xfId="28" applyNumberFormat="1" applyFont="1" applyFill="1" applyBorder="1" applyAlignment="1">
      <alignment horizontal="center"/>
    </xf>
    <xf numFmtId="165" fontId="6" fillId="0" borderId="28" xfId="28" applyNumberFormat="1" applyFont="1" applyFill="1" applyBorder="1"/>
    <xf numFmtId="165" fontId="6" fillId="0" borderId="29" xfId="28" applyNumberFormat="1" applyFont="1" applyFill="1" applyBorder="1"/>
    <xf numFmtId="0" fontId="82" fillId="0" borderId="29" xfId="0" applyFont="1" applyFill="1" applyBorder="1" applyAlignment="1">
      <alignment horizontal="right" vertical="center" wrapText="1"/>
    </xf>
    <xf numFmtId="165" fontId="3" fillId="0" borderId="29" xfId="28" applyNumberFormat="1" applyFont="1" applyFill="1" applyBorder="1"/>
    <xf numFmtId="165" fontId="6" fillId="0" borderId="31" xfId="28" applyNumberFormat="1" applyFont="1" applyFill="1" applyBorder="1" applyAlignment="1">
      <alignment horizontal="right"/>
    </xf>
    <xf numFmtId="165" fontId="6" fillId="0" borderId="21" xfId="28" applyNumberFormat="1" applyFont="1" applyFill="1" applyBorder="1"/>
    <xf numFmtId="165" fontId="6" fillId="0" borderId="34" xfId="28" applyNumberFormat="1" applyFont="1" applyFill="1" applyBorder="1"/>
    <xf numFmtId="0" fontId="3" fillId="0" borderId="21" xfId="0" applyFont="1" applyFill="1" applyBorder="1" applyAlignment="1">
      <alignment horizontal="right" vertical="center" wrapText="1"/>
    </xf>
    <xf numFmtId="165" fontId="3" fillId="0" borderId="21" xfId="28" applyNumberFormat="1" applyFont="1" applyFill="1" applyBorder="1"/>
    <xf numFmtId="165" fontId="3" fillId="0" borderId="34" xfId="28" applyNumberFormat="1" applyFont="1" applyFill="1" applyBorder="1"/>
    <xf numFmtId="165" fontId="3" fillId="0" borderId="22" xfId="28" applyNumberFormat="1" applyFont="1" applyFill="1" applyBorder="1"/>
    <xf numFmtId="165" fontId="3" fillId="0" borderId="35" xfId="28" applyNumberFormat="1" applyFont="1" applyFill="1" applyBorder="1"/>
    <xf numFmtId="165" fontId="3" fillId="0" borderId="36" xfId="28" applyNumberFormat="1" applyFont="1" applyFill="1" applyBorder="1"/>
    <xf numFmtId="165" fontId="2" fillId="0" borderId="29" xfId="28" applyNumberFormat="1" applyFont="1" applyFill="1" applyBorder="1"/>
    <xf numFmtId="165" fontId="2" fillId="0" borderId="29" xfId="28" applyNumberFormat="1" applyFont="1" applyFill="1" applyBorder="1" applyAlignment="1">
      <alignment horizontal="center"/>
    </xf>
    <xf numFmtId="165" fontId="82" fillId="0" borderId="29" xfId="28" applyNumberFormat="1" applyFont="1" applyFill="1" applyBorder="1"/>
    <xf numFmtId="165" fontId="3" fillId="0" borderId="29" xfId="28" applyNumberFormat="1" applyFont="1" applyFill="1" applyBorder="1" applyAlignment="1"/>
    <xf numFmtId="165" fontId="3" fillId="0" borderId="29" xfId="28" applyNumberFormat="1" applyFont="1" applyFill="1" applyBorder="1" applyAlignment="1">
      <alignment horizontal="center"/>
    </xf>
    <xf numFmtId="0" fontId="6" fillId="0" borderId="32" xfId="50" applyFont="1" applyFill="1" applyBorder="1" applyAlignment="1">
      <alignment horizontal="center"/>
    </xf>
    <xf numFmtId="0" fontId="3" fillId="0" borderId="33" xfId="50" applyFont="1" applyFill="1" applyBorder="1" applyAlignment="1">
      <alignment horizontal="center"/>
    </xf>
    <xf numFmtId="165" fontId="6" fillId="0" borderId="30" xfId="28" applyNumberFormat="1" applyFont="1" applyFill="1" applyBorder="1" applyAlignment="1">
      <alignment horizontal="right"/>
    </xf>
    <xf numFmtId="0" fontId="3" fillId="0" borderId="34" xfId="50" applyFont="1" applyFill="1" applyBorder="1" applyAlignment="1">
      <alignment horizontal="center"/>
    </xf>
    <xf numFmtId="165" fontId="2" fillId="0" borderId="21" xfId="28" applyNumberFormat="1" applyFont="1" applyFill="1" applyBorder="1"/>
    <xf numFmtId="165" fontId="2" fillId="0" borderId="34" xfId="28" applyNumberFormat="1" applyFont="1" applyFill="1" applyBorder="1"/>
    <xf numFmtId="165" fontId="2" fillId="0" borderId="21" xfId="28" applyNumberFormat="1" applyFont="1" applyFill="1" applyBorder="1" applyAlignment="1">
      <alignment horizontal="center"/>
    </xf>
    <xf numFmtId="165" fontId="3" fillId="0" borderId="34" xfId="28" applyNumberFormat="1" applyFont="1" applyFill="1" applyBorder="1" applyAlignment="1">
      <alignment horizontal="center"/>
    </xf>
    <xf numFmtId="165" fontId="3" fillId="0" borderId="34" xfId="28" applyNumberFormat="1" applyFont="1" applyFill="1" applyBorder="1" applyAlignment="1"/>
    <xf numFmtId="165" fontId="3" fillId="0" borderId="21" xfId="28" applyNumberFormat="1" applyFont="1" applyFill="1" applyBorder="1" applyAlignment="1"/>
    <xf numFmtId="165" fontId="3" fillId="0" borderId="21" xfId="28" applyNumberFormat="1" applyFont="1" applyFill="1" applyBorder="1" applyAlignment="1">
      <alignment horizontal="center"/>
    </xf>
    <xf numFmtId="165" fontId="3" fillId="0" borderId="22" xfId="28" applyNumberFormat="1" applyFont="1" applyFill="1" applyBorder="1" applyAlignment="1">
      <alignment horizontal="center"/>
    </xf>
    <xf numFmtId="165" fontId="3" fillId="0" borderId="35" xfId="28" applyNumberFormat="1" applyFont="1" applyFill="1" applyBorder="1" applyAlignment="1">
      <alignment horizontal="center"/>
    </xf>
    <xf numFmtId="165" fontId="3" fillId="0" borderId="36" xfId="28" applyNumberFormat="1" applyFont="1" applyFill="1" applyBorder="1" applyAlignment="1">
      <alignment horizontal="center"/>
    </xf>
    <xf numFmtId="0" fontId="4" fillId="0" borderId="0" xfId="0" applyFont="1" applyFill="1"/>
    <xf numFmtId="0" fontId="74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79" fillId="0" borderId="13" xfId="0" applyFont="1" applyFill="1" applyBorder="1" applyAlignment="1">
      <alignment horizontal="center"/>
    </xf>
    <xf numFmtId="0" fontId="79" fillId="0" borderId="0" xfId="0" applyFont="1" applyFill="1" applyBorder="1"/>
    <xf numFmtId="0" fontId="79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81" fillId="0" borderId="12" xfId="0" applyFont="1" applyFill="1" applyBorder="1" applyAlignment="1">
      <alignment horizontal="left"/>
    </xf>
    <xf numFmtId="0" fontId="0" fillId="0" borderId="12" xfId="0" applyFill="1" applyBorder="1"/>
    <xf numFmtId="0" fontId="81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/>
    <xf numFmtId="165" fontId="81" fillId="0" borderId="12" xfId="28" applyNumberFormat="1" applyFont="1" applyFill="1" applyBorder="1"/>
    <xf numFmtId="0" fontId="81" fillId="0" borderId="12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79" fillId="0" borderId="12" xfId="0" applyFont="1" applyFill="1" applyBorder="1"/>
    <xf numFmtId="3" fontId="2" fillId="0" borderId="12" xfId="0" applyNumberFormat="1" applyFont="1" applyFill="1" applyBorder="1" applyAlignment="1">
      <alignment horizontal="right"/>
    </xf>
    <xf numFmtId="0" fontId="80" fillId="0" borderId="0" xfId="0" applyFont="1" applyFill="1" applyBorder="1" applyAlignment="1">
      <alignment horizontal="center"/>
    </xf>
    <xf numFmtId="0" fontId="80" fillId="0" borderId="0" xfId="0" applyFont="1" applyFill="1" applyBorder="1"/>
    <xf numFmtId="3" fontId="80" fillId="0" borderId="0" xfId="0" applyNumberFormat="1" applyFont="1" applyFill="1" applyBorder="1" applyAlignment="1">
      <alignment horizontal="center"/>
    </xf>
    <xf numFmtId="0" fontId="80" fillId="0" borderId="0" xfId="0" applyNumberFormat="1" applyFont="1" applyFill="1" applyBorder="1" applyAlignment="1">
      <alignment horizontal="center"/>
    </xf>
    <xf numFmtId="0" fontId="65" fillId="0" borderId="0" xfId="0" applyFont="1" applyFill="1" applyBorder="1"/>
    <xf numFmtId="3" fontId="65" fillId="0" borderId="0" xfId="0" applyNumberFormat="1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3" fontId="80" fillId="0" borderId="0" xfId="0" applyNumberFormat="1" applyFont="1" applyFill="1" applyBorder="1" applyAlignment="1">
      <alignment horizontal="center"/>
    </xf>
    <xf numFmtId="0" fontId="74" fillId="0" borderId="10" xfId="0" applyFont="1" applyFill="1" applyBorder="1" applyAlignment="1">
      <alignment horizontal="center"/>
    </xf>
    <xf numFmtId="0" fontId="79" fillId="0" borderId="23" xfId="0" applyFont="1" applyFill="1" applyBorder="1" applyAlignment="1">
      <alignment horizontal="center"/>
    </xf>
    <xf numFmtId="0" fontId="79" fillId="0" borderId="11" xfId="0" applyFont="1" applyFill="1" applyBorder="1" applyAlignment="1">
      <alignment horizontal="center"/>
    </xf>
    <xf numFmtId="0" fontId="79" fillId="0" borderId="24" xfId="0" applyFont="1" applyFill="1" applyBorder="1" applyAlignment="1">
      <alignment horizontal="center"/>
    </xf>
    <xf numFmtId="0" fontId="79" fillId="0" borderId="14" xfId="0" applyFont="1" applyFill="1" applyBorder="1"/>
    <xf numFmtId="0" fontId="79" fillId="0" borderId="13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wrapText="1"/>
    </xf>
    <xf numFmtId="3" fontId="3" fillId="0" borderId="12" xfId="0" applyNumberFormat="1" applyFont="1" applyFill="1" applyBorder="1" applyAlignment="1">
      <alignment horizontal="center"/>
    </xf>
    <xf numFmtId="0" fontId="79" fillId="0" borderId="15" xfId="0" applyFont="1" applyFill="1" applyBorder="1" applyAlignment="1">
      <alignment horizontal="center"/>
    </xf>
    <xf numFmtId="3" fontId="79" fillId="0" borderId="0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 wrapText="1"/>
    </xf>
    <xf numFmtId="0" fontId="85" fillId="0" borderId="12" xfId="0" applyFont="1" applyFill="1" applyBorder="1" applyAlignment="1">
      <alignment horizontal="center" vertical="center" wrapText="1"/>
    </xf>
    <xf numFmtId="0" fontId="79" fillId="0" borderId="16" xfId="0" applyFont="1" applyFill="1" applyBorder="1"/>
    <xf numFmtId="3" fontId="79" fillId="0" borderId="12" xfId="0" applyNumberFormat="1" applyFont="1" applyFill="1" applyBorder="1" applyAlignment="1">
      <alignment horizontal="center"/>
    </xf>
    <xf numFmtId="3" fontId="79" fillId="0" borderId="19" xfId="0" applyNumberFormat="1" applyFont="1" applyFill="1" applyBorder="1" applyAlignment="1">
      <alignment horizontal="center"/>
    </xf>
    <xf numFmtId="3" fontId="86" fillId="0" borderId="0" xfId="0" applyNumberFormat="1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0" fontId="74" fillId="0" borderId="0" xfId="0" applyFont="1" applyFill="1" applyBorder="1" applyAlignment="1"/>
  </cellXfs>
  <cellStyles count="5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3" xfId="30"/>
    <cellStyle name="Comma_EDUCAT Chapter 2" xfId="31"/>
    <cellStyle name="Comma_POP &amp; VITAL Chapter 11" xfId="32"/>
    <cellStyle name="Currency" xfId="33" builtinId="4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2" xfId="43"/>
    <cellStyle name="Normal 2 2" xfId="44"/>
    <cellStyle name="Normal 2 3" xfId="45"/>
    <cellStyle name="Normal 3" xfId="46"/>
    <cellStyle name="Normal 4" xfId="47"/>
    <cellStyle name="Normal 8" xfId="48"/>
    <cellStyle name="Normal_EDUCAT Chapter 2" xfId="49"/>
    <cellStyle name="Normal_POP &amp; VITAL Chapter 11" xfId="50"/>
    <cellStyle name="Normal_Sheet1" xfId="51"/>
    <cellStyle name="Note 2" xfId="52"/>
    <cellStyle name="Output 2" xfId="53"/>
    <cellStyle name="Title 2" xfId="54"/>
    <cellStyle name="Total 2" xfId="55"/>
    <cellStyle name="Warning Text 2" xfId="5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9525</xdr:rowOff>
        </xdr:from>
        <xdr:to>
          <xdr:col>1</xdr:col>
          <xdr:colOff>104775</xdr:colOff>
          <xdr:row>0</xdr:row>
          <xdr:rowOff>57150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19050</xdr:rowOff>
        </xdr:from>
        <xdr:to>
          <xdr:col>2</xdr:col>
          <xdr:colOff>238125</xdr:colOff>
          <xdr:row>3</xdr:row>
          <xdr:rowOff>161925</xdr:rowOff>
        </xdr:to>
        <xdr:sp macro="" textlink="">
          <xdr:nvSpPr>
            <xdr:cNvPr id="21506" name="Object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47625</xdr:rowOff>
        </xdr:from>
        <xdr:to>
          <xdr:col>1</xdr:col>
          <xdr:colOff>228600</xdr:colOff>
          <xdr:row>1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0</xdr:col>
          <xdr:colOff>323850</xdr:colOff>
          <xdr:row>0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628650</xdr:colOff>
          <xdr:row>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57150</xdr:rowOff>
        </xdr:from>
        <xdr:to>
          <xdr:col>1</xdr:col>
          <xdr:colOff>66675</xdr:colOff>
          <xdr:row>2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352425</xdr:colOff>
          <xdr:row>3</xdr:row>
          <xdr:rowOff>57150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73025</xdr:colOff>
          <xdr:row>3</xdr:row>
          <xdr:rowOff>47625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57150</xdr:rowOff>
        </xdr:from>
        <xdr:to>
          <xdr:col>2</xdr:col>
          <xdr:colOff>247650</xdr:colOff>
          <xdr:row>0</xdr:row>
          <xdr:rowOff>161925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2</xdr:col>
          <xdr:colOff>28575</xdr:colOff>
          <xdr:row>0</xdr:row>
          <xdr:rowOff>161925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342900</xdr:colOff>
          <xdr:row>4</xdr:row>
          <xdr:rowOff>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323850</xdr:colOff>
          <xdr:row>3</xdr:row>
          <xdr:rowOff>152400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161925</xdr:colOff>
          <xdr:row>2</xdr:row>
          <xdr:rowOff>9525</xdr:rowOff>
        </xdr:to>
        <xdr:sp macro="" textlink="">
          <xdr:nvSpPr>
            <xdr:cNvPr id="29698" name="Object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19050</xdr:rowOff>
        </xdr:from>
        <xdr:to>
          <xdr:col>1</xdr:col>
          <xdr:colOff>333375</xdr:colOff>
          <xdr:row>4</xdr:row>
          <xdr:rowOff>9525</xdr:rowOff>
        </xdr:to>
        <xdr:sp macro="" textlink="">
          <xdr:nvSpPr>
            <xdr:cNvPr id="61441" name="Object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28575</xdr:rowOff>
        </xdr:from>
        <xdr:to>
          <xdr:col>2</xdr:col>
          <xdr:colOff>0</xdr:colOff>
          <xdr:row>3</xdr:row>
          <xdr:rowOff>47625</xdr:rowOff>
        </xdr:to>
        <xdr:sp macro="" textlink="">
          <xdr:nvSpPr>
            <xdr:cNvPr id="34819" name="Object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22412</xdr:colOff>
          <xdr:row>0</xdr:row>
          <xdr:rowOff>20170</xdr:rowOff>
        </xdr:from>
        <xdr:to>
          <xdr:col>1</xdr:col>
          <xdr:colOff>400050</xdr:colOff>
          <xdr:row>3</xdr:row>
          <xdr:rowOff>104775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50426</xdr:colOff>
          <xdr:row>0</xdr:row>
          <xdr:rowOff>30255</xdr:rowOff>
        </xdr:from>
        <xdr:to>
          <xdr:col>2</xdr:col>
          <xdr:colOff>11206</xdr:colOff>
          <xdr:row>3</xdr:row>
          <xdr:rowOff>145676</xdr:rowOff>
        </xdr:to>
        <xdr:sp macro="" textlink="">
          <xdr:nvSpPr>
            <xdr:cNvPr id="23556" name="Object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14968</xdr:rowOff>
        </xdr:from>
        <xdr:to>
          <xdr:col>1</xdr:col>
          <xdr:colOff>517413</xdr:colOff>
          <xdr:row>2</xdr:row>
          <xdr:rowOff>163286</xdr:rowOff>
        </xdr:to>
        <xdr:sp macro="" textlink="">
          <xdr:nvSpPr>
            <xdr:cNvPr id="36868" name="Object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9524</xdr:colOff>
          <xdr:row>0</xdr:row>
          <xdr:rowOff>25400</xdr:rowOff>
        </xdr:from>
        <xdr:to>
          <xdr:col>1</xdr:col>
          <xdr:colOff>489587</xdr:colOff>
          <xdr:row>3</xdr:row>
          <xdr:rowOff>95250</xdr:rowOff>
        </xdr:to>
        <xdr:sp macro="" textlink="">
          <xdr:nvSpPr>
            <xdr:cNvPr id="44034" name="Object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9524</xdr:colOff>
          <xdr:row>0</xdr:row>
          <xdr:rowOff>0</xdr:rowOff>
        </xdr:from>
        <xdr:to>
          <xdr:col>1</xdr:col>
          <xdr:colOff>247650</xdr:colOff>
          <xdr:row>3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0</xdr:col>
          <xdr:colOff>171450</xdr:colOff>
          <xdr:row>0</xdr:row>
          <xdr:rowOff>66675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9524</xdr:colOff>
          <xdr:row>0</xdr:row>
          <xdr:rowOff>0</xdr:rowOff>
        </xdr:from>
        <xdr:to>
          <xdr:col>3</xdr:col>
          <xdr:colOff>505882</xdr:colOff>
          <xdr:row>3</xdr:row>
          <xdr:rowOff>123825</xdr:rowOff>
        </xdr:to>
        <xdr:sp macro="" textlink="">
          <xdr:nvSpPr>
            <xdr:cNvPr id="22531" name="Object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0.bin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Relationship Id="rId4" Type="http://schemas.openxmlformats.org/officeDocument/2006/relationships/image" Target="../media/image1.png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1.bin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Relationship Id="rId4" Type="http://schemas.openxmlformats.org/officeDocument/2006/relationships/image" Target="../media/image1.png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2.bin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png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0.39997558519241921"/>
    <pageSetUpPr fitToPage="1"/>
  </sheetPr>
  <dimension ref="B4:L69"/>
  <sheetViews>
    <sheetView tabSelected="1" zoomScaleNormal="100" zoomScaleSheetLayoutView="69" workbookViewId="0">
      <selection activeCell="D2" sqref="D2"/>
    </sheetView>
  </sheetViews>
  <sheetFormatPr defaultColWidth="9.140625" defaultRowHeight="12.75" x14ac:dyDescent="0.2"/>
  <cols>
    <col min="1" max="1" width="9.140625" style="280"/>
    <col min="2" max="2" width="6.5703125" style="280" customWidth="1"/>
    <col min="3" max="3" width="32.140625" style="280" customWidth="1"/>
    <col min="4" max="5" width="10.42578125" style="280" customWidth="1"/>
    <col min="6" max="6" width="10.42578125" style="331" customWidth="1"/>
    <col min="7" max="9" width="10.42578125" style="280" customWidth="1"/>
    <col min="10" max="10" width="11.5703125" style="280" customWidth="1"/>
    <col min="11" max="11" width="9.140625" style="280"/>
    <col min="12" max="12" width="9.140625" style="154"/>
    <col min="13" max="16384" width="9.140625" style="280"/>
  </cols>
  <sheetData>
    <row r="4" spans="2:12" ht="15" x14ac:dyDescent="0.25">
      <c r="D4" s="366"/>
      <c r="E4" s="366"/>
      <c r="F4" s="366"/>
      <c r="G4" s="366"/>
      <c r="J4" s="329" t="s">
        <v>340</v>
      </c>
    </row>
    <row r="5" spans="2:12" ht="9" customHeight="1" x14ac:dyDescent="0.2"/>
    <row r="7" spans="2:12" ht="15.75" x14ac:dyDescent="0.25">
      <c r="C7" s="334"/>
      <c r="D7" s="334"/>
      <c r="E7" s="334"/>
      <c r="F7" s="334"/>
      <c r="G7" s="334"/>
    </row>
    <row r="8" spans="2:12" ht="15.75" x14ac:dyDescent="0.25">
      <c r="C8" s="332"/>
      <c r="D8" s="332"/>
      <c r="E8" s="332"/>
      <c r="F8" s="333"/>
      <c r="G8" s="332"/>
    </row>
    <row r="9" spans="2:12" ht="15.75" x14ac:dyDescent="0.25">
      <c r="B9" s="334" t="s">
        <v>230</v>
      </c>
      <c r="C9" s="389" t="s">
        <v>341</v>
      </c>
      <c r="D9" s="389"/>
      <c r="E9" s="389"/>
      <c r="F9" s="389"/>
      <c r="G9" s="389"/>
      <c r="H9" s="389"/>
      <c r="I9" s="389"/>
      <c r="J9" s="389"/>
    </row>
    <row r="11" spans="2:12" x14ac:dyDescent="0.2">
      <c r="C11" s="336"/>
      <c r="D11" s="338"/>
      <c r="E11" s="338"/>
      <c r="L11" s="339"/>
    </row>
    <row r="12" spans="2:12" x14ac:dyDescent="0.2">
      <c r="C12" s="367" t="s">
        <v>16</v>
      </c>
      <c r="D12" s="55">
        <v>2011</v>
      </c>
      <c r="E12" s="55">
        <v>2012</v>
      </c>
      <c r="F12" s="55">
        <v>2013</v>
      </c>
      <c r="G12" s="50">
        <v>2014</v>
      </c>
      <c r="H12" s="50">
        <v>2015</v>
      </c>
      <c r="I12" s="50">
        <v>2016</v>
      </c>
      <c r="J12" s="50">
        <v>2017</v>
      </c>
    </row>
    <row r="13" spans="2:12" ht="8.25" customHeight="1" x14ac:dyDescent="0.2">
      <c r="C13" s="340"/>
      <c r="D13" s="340"/>
      <c r="E13" s="340"/>
      <c r="F13" s="341"/>
      <c r="G13" s="342"/>
    </row>
    <row r="14" spans="2:12" ht="42.75" customHeight="1" x14ac:dyDescent="0.2">
      <c r="C14" s="343" t="s">
        <v>182</v>
      </c>
      <c r="D14" s="98">
        <v>36</v>
      </c>
      <c r="E14" s="98">
        <f>SUM(E15:E17)</f>
        <v>38</v>
      </c>
      <c r="F14" s="98">
        <f>SUM(F15:F17)</f>
        <v>41</v>
      </c>
      <c r="G14" s="98">
        <f>SUM(G15:G17)</f>
        <v>43</v>
      </c>
      <c r="H14" s="98">
        <v>37</v>
      </c>
      <c r="I14" s="98">
        <f>SUM(I15:I17)</f>
        <v>38</v>
      </c>
      <c r="J14" s="98">
        <f>SUM(J15:J17)</f>
        <v>38</v>
      </c>
    </row>
    <row r="15" spans="2:12" s="281" customFormat="1" x14ac:dyDescent="0.2">
      <c r="C15" s="344" t="s">
        <v>183</v>
      </c>
      <c r="D15" s="345">
        <v>22</v>
      </c>
      <c r="E15" s="345">
        <v>21</v>
      </c>
      <c r="F15" s="345">
        <v>23</v>
      </c>
      <c r="G15" s="346">
        <v>25</v>
      </c>
      <c r="H15" s="281">
        <v>23</v>
      </c>
      <c r="I15" s="281">
        <v>20</v>
      </c>
      <c r="J15" s="281">
        <v>22</v>
      </c>
      <c r="L15" s="347"/>
    </row>
    <row r="16" spans="2:12" s="281" customFormat="1" x14ac:dyDescent="0.2">
      <c r="C16" s="344" t="s">
        <v>184</v>
      </c>
      <c r="D16" s="345">
        <v>11</v>
      </c>
      <c r="E16" s="345">
        <v>11</v>
      </c>
      <c r="F16" s="345">
        <v>11</v>
      </c>
      <c r="G16" s="346">
        <v>11</v>
      </c>
      <c r="H16" s="281">
        <v>11</v>
      </c>
      <c r="I16" s="281">
        <v>11</v>
      </c>
      <c r="J16" s="281">
        <v>9</v>
      </c>
      <c r="L16" s="347"/>
    </row>
    <row r="17" spans="3:12" s="281" customFormat="1" x14ac:dyDescent="0.2">
      <c r="C17" s="344" t="s">
        <v>185</v>
      </c>
      <c r="D17" s="345">
        <v>3</v>
      </c>
      <c r="E17" s="345">
        <v>6</v>
      </c>
      <c r="F17" s="345">
        <v>7</v>
      </c>
      <c r="G17" s="346">
        <v>7</v>
      </c>
      <c r="H17" s="281">
        <v>7</v>
      </c>
      <c r="I17" s="281">
        <v>7</v>
      </c>
      <c r="J17" s="281">
        <v>7</v>
      </c>
      <c r="L17" s="347"/>
    </row>
    <row r="18" spans="3:12" x14ac:dyDescent="0.2">
      <c r="C18" s="337"/>
      <c r="D18" s="337"/>
      <c r="E18" s="341"/>
      <c r="F18" s="341"/>
      <c r="G18" s="342"/>
    </row>
    <row r="19" spans="3:12" x14ac:dyDescent="0.2">
      <c r="C19" s="337"/>
      <c r="D19" s="337"/>
      <c r="E19" s="337"/>
      <c r="F19" s="341"/>
      <c r="G19" s="342"/>
    </row>
    <row r="20" spans="3:12" x14ac:dyDescent="0.2">
      <c r="C20" s="348" t="s">
        <v>145</v>
      </c>
      <c r="D20" s="349">
        <v>1579</v>
      </c>
      <c r="E20" s="349">
        <f>SUM(E21:E23)</f>
        <v>1701</v>
      </c>
      <c r="F20" s="349">
        <f>SUM(F21:F23)</f>
        <v>1939</v>
      </c>
      <c r="G20" s="349">
        <f>SUM(G21:G23)</f>
        <v>1949</v>
      </c>
      <c r="H20" s="349">
        <f>SUM(H21:H23)</f>
        <v>1785</v>
      </c>
      <c r="I20" s="349">
        <f t="shared" ref="I20:J20" si="0">SUM(I21:I23)</f>
        <v>1931</v>
      </c>
      <c r="J20" s="349">
        <f t="shared" si="0"/>
        <v>2042</v>
      </c>
    </row>
    <row r="21" spans="3:12" s="281" customFormat="1" x14ac:dyDescent="0.2">
      <c r="C21" s="344" t="s">
        <v>183</v>
      </c>
      <c r="D21" s="155">
        <v>1212</v>
      </c>
      <c r="E21" s="155">
        <v>1033</v>
      </c>
      <c r="F21" s="155">
        <v>1189</v>
      </c>
      <c r="G21" s="155">
        <v>1183</v>
      </c>
      <c r="H21" s="350">
        <v>1132</v>
      </c>
      <c r="I21" s="350">
        <v>1138</v>
      </c>
      <c r="J21" s="350">
        <v>1357</v>
      </c>
      <c r="L21" s="347"/>
    </row>
    <row r="22" spans="3:12" s="281" customFormat="1" x14ac:dyDescent="0.2">
      <c r="C22" s="344" t="s">
        <v>184</v>
      </c>
      <c r="D22" s="155">
        <v>304</v>
      </c>
      <c r="E22" s="155">
        <v>467</v>
      </c>
      <c r="F22" s="155">
        <v>465</v>
      </c>
      <c r="G22" s="155">
        <v>480</v>
      </c>
      <c r="H22" s="350">
        <v>359</v>
      </c>
      <c r="I22" s="350">
        <v>509</v>
      </c>
      <c r="J22" s="350">
        <v>422</v>
      </c>
      <c r="L22" s="347"/>
    </row>
    <row r="23" spans="3:12" s="281" customFormat="1" x14ac:dyDescent="0.2">
      <c r="C23" s="344" t="s">
        <v>185</v>
      </c>
      <c r="D23" s="155">
        <v>63</v>
      </c>
      <c r="E23" s="155">
        <v>201</v>
      </c>
      <c r="F23" s="155">
        <v>285</v>
      </c>
      <c r="G23" s="155">
        <v>286</v>
      </c>
      <c r="H23" s="350">
        <v>294</v>
      </c>
      <c r="I23" s="350">
        <v>284</v>
      </c>
      <c r="J23" s="350">
        <v>263</v>
      </c>
      <c r="L23" s="347"/>
    </row>
    <row r="26" spans="3:12" x14ac:dyDescent="0.2">
      <c r="C26" s="351" t="s">
        <v>26</v>
      </c>
      <c r="D26" s="155">
        <v>758</v>
      </c>
      <c r="E26" s="155">
        <v>791</v>
      </c>
      <c r="F26" s="155">
        <v>980</v>
      </c>
      <c r="G26" s="155">
        <v>921</v>
      </c>
      <c r="H26" s="350">
        <v>855</v>
      </c>
      <c r="I26" s="350">
        <v>954</v>
      </c>
      <c r="J26" s="350">
        <v>1024</v>
      </c>
    </row>
    <row r="27" spans="3:12" s="281" customFormat="1" x14ac:dyDescent="0.2">
      <c r="C27" s="351" t="s">
        <v>25</v>
      </c>
      <c r="D27" s="155">
        <v>821</v>
      </c>
      <c r="E27" s="155">
        <v>910</v>
      </c>
      <c r="F27" s="155">
        <v>959</v>
      </c>
      <c r="G27" s="155">
        <v>1028</v>
      </c>
      <c r="H27" s="350">
        <v>930</v>
      </c>
      <c r="I27" s="350">
        <v>977</v>
      </c>
      <c r="J27" s="350">
        <v>1018</v>
      </c>
      <c r="L27" s="347"/>
    </row>
    <row r="30" spans="3:12" x14ac:dyDescent="0.2">
      <c r="C30" s="348" t="s">
        <v>149</v>
      </c>
      <c r="D30" s="98">
        <v>245</v>
      </c>
      <c r="E30" s="98">
        <f>SUM(E31:E33)</f>
        <v>242</v>
      </c>
      <c r="F30" s="98">
        <f>SUM(F31:F33)</f>
        <v>250</v>
      </c>
      <c r="G30" s="98">
        <f>SUM(G31:G33)</f>
        <v>251</v>
      </c>
      <c r="H30" s="98">
        <f>SUM(H31:H33)</f>
        <v>300</v>
      </c>
      <c r="I30" s="98">
        <f>SUM(I31,I32,I33)</f>
        <v>263</v>
      </c>
      <c r="J30" s="98">
        <f>SUM(J35:J36)</f>
        <v>324</v>
      </c>
    </row>
    <row r="31" spans="3:12" s="281" customFormat="1" x14ac:dyDescent="0.2">
      <c r="C31" s="344" t="s">
        <v>183</v>
      </c>
      <c r="D31" s="345">
        <v>192</v>
      </c>
      <c r="E31" s="345">
        <v>185</v>
      </c>
      <c r="F31" s="345">
        <v>189</v>
      </c>
      <c r="G31" s="346">
        <v>193</v>
      </c>
      <c r="H31" s="281">
        <v>214</v>
      </c>
      <c r="I31" s="281">
        <v>214</v>
      </c>
      <c r="J31" s="281">
        <v>278</v>
      </c>
      <c r="L31" s="347"/>
    </row>
    <row r="32" spans="3:12" s="281" customFormat="1" x14ac:dyDescent="0.2">
      <c r="C32" s="344" t="s">
        <v>184</v>
      </c>
      <c r="D32" s="345">
        <v>47</v>
      </c>
      <c r="E32" s="345">
        <v>43</v>
      </c>
      <c r="F32" s="345">
        <v>46</v>
      </c>
      <c r="G32" s="346">
        <v>42</v>
      </c>
      <c r="H32" s="281">
        <v>69</v>
      </c>
      <c r="I32" s="281">
        <v>32</v>
      </c>
      <c r="J32" s="281">
        <v>28</v>
      </c>
      <c r="L32" s="347"/>
    </row>
    <row r="33" spans="2:12" s="281" customFormat="1" x14ac:dyDescent="0.2">
      <c r="C33" s="344" t="s">
        <v>185</v>
      </c>
      <c r="D33" s="345">
        <v>6</v>
      </c>
      <c r="E33" s="345">
        <v>14</v>
      </c>
      <c r="F33" s="345">
        <v>15</v>
      </c>
      <c r="G33" s="346">
        <v>16</v>
      </c>
      <c r="H33" s="281">
        <v>17</v>
      </c>
      <c r="I33" s="281">
        <v>17</v>
      </c>
      <c r="J33" s="281">
        <v>17</v>
      </c>
      <c r="L33" s="347"/>
    </row>
    <row r="34" spans="2:12" s="281" customFormat="1" x14ac:dyDescent="0.2">
      <c r="C34" s="344"/>
      <c r="D34" s="345"/>
      <c r="E34" s="345"/>
      <c r="F34" s="345"/>
      <c r="G34" s="346"/>
      <c r="L34" s="347"/>
    </row>
    <row r="35" spans="2:12" x14ac:dyDescent="0.2">
      <c r="C35" s="351" t="s">
        <v>26</v>
      </c>
      <c r="D35" s="345">
        <v>244</v>
      </c>
      <c r="E35" s="341">
        <v>242</v>
      </c>
      <c r="F35" s="341">
        <v>242</v>
      </c>
      <c r="G35" s="346">
        <v>251</v>
      </c>
      <c r="H35" s="281">
        <v>246</v>
      </c>
      <c r="I35" s="281">
        <v>263</v>
      </c>
      <c r="J35" s="281">
        <f>SUM(J31:J33)</f>
        <v>323</v>
      </c>
      <c r="L35" s="352"/>
    </row>
    <row r="36" spans="2:12" x14ac:dyDescent="0.2">
      <c r="C36" s="351" t="s">
        <v>25</v>
      </c>
      <c r="D36" s="345">
        <v>1</v>
      </c>
      <c r="E36" s="341">
        <v>0</v>
      </c>
      <c r="F36" s="341">
        <v>8</v>
      </c>
      <c r="G36" s="346">
        <v>0</v>
      </c>
      <c r="H36" s="281">
        <v>0</v>
      </c>
      <c r="I36" s="353">
        <v>0</v>
      </c>
      <c r="J36" s="353">
        <v>1</v>
      </c>
    </row>
    <row r="37" spans="2:12" x14ac:dyDescent="0.2">
      <c r="C37" s="354"/>
      <c r="D37" s="337"/>
      <c r="E37" s="337"/>
      <c r="F37" s="98"/>
      <c r="G37" s="342"/>
    </row>
    <row r="38" spans="2:12" x14ac:dyDescent="0.2">
      <c r="C38" s="367" t="s">
        <v>200</v>
      </c>
      <c r="D38" s="55">
        <v>2011</v>
      </c>
      <c r="E38" s="55">
        <v>2012</v>
      </c>
      <c r="F38" s="55">
        <v>2013</v>
      </c>
      <c r="G38" s="50">
        <v>2014</v>
      </c>
      <c r="H38" s="50">
        <v>2015</v>
      </c>
      <c r="I38" s="50">
        <v>2016</v>
      </c>
      <c r="J38" s="50">
        <v>2017</v>
      </c>
    </row>
    <row r="39" spans="2:12" x14ac:dyDescent="0.2">
      <c r="B39" s="338"/>
      <c r="C39" s="338"/>
    </row>
    <row r="40" spans="2:12" ht="42" customHeight="1" x14ac:dyDescent="0.2">
      <c r="C40" s="343" t="s">
        <v>182</v>
      </c>
      <c r="D40" s="331">
        <f>SUM(D41:D42)</f>
        <v>4</v>
      </c>
      <c r="E40" s="331">
        <f>SUM(E41:E42)</f>
        <v>4</v>
      </c>
      <c r="F40" s="331">
        <f>SUM(F41:F42)</f>
        <v>4</v>
      </c>
      <c r="G40" s="331">
        <f>SUM(G41:G42)</f>
        <v>4</v>
      </c>
      <c r="H40" s="331">
        <f>SUM(H41:H42)</f>
        <v>4</v>
      </c>
      <c r="I40" s="331">
        <v>4</v>
      </c>
      <c r="J40" s="331">
        <f>SUM(J41:J42)</f>
        <v>4</v>
      </c>
    </row>
    <row r="41" spans="2:12" x14ac:dyDescent="0.2">
      <c r="B41" s="338"/>
      <c r="C41" s="344" t="s">
        <v>183</v>
      </c>
      <c r="D41" s="331">
        <v>1</v>
      </c>
      <c r="E41" s="331">
        <v>1</v>
      </c>
      <c r="F41" s="331">
        <v>1</v>
      </c>
      <c r="G41" s="341">
        <v>1</v>
      </c>
      <c r="H41" s="341">
        <v>1</v>
      </c>
      <c r="I41" s="341">
        <v>1</v>
      </c>
      <c r="J41" s="341">
        <v>1</v>
      </c>
    </row>
    <row r="42" spans="2:12" x14ac:dyDescent="0.2">
      <c r="C42" s="344" t="s">
        <v>185</v>
      </c>
      <c r="D42" s="356">
        <v>3</v>
      </c>
      <c r="E42" s="356">
        <v>3</v>
      </c>
      <c r="F42" s="356">
        <v>3</v>
      </c>
      <c r="G42" s="346">
        <v>3</v>
      </c>
      <c r="H42" s="281">
        <v>3</v>
      </c>
      <c r="I42" s="281">
        <v>3</v>
      </c>
      <c r="J42" s="281">
        <v>3</v>
      </c>
    </row>
    <row r="45" spans="2:12" x14ac:dyDescent="0.2">
      <c r="C45" s="348" t="s">
        <v>145</v>
      </c>
      <c r="D45" s="357">
        <f>SUM(D49,D50)</f>
        <v>76</v>
      </c>
      <c r="E45" s="357">
        <f>SUM(E49,E50)</f>
        <v>67</v>
      </c>
      <c r="F45" s="357">
        <f>SUM(F49,F50)</f>
        <v>66</v>
      </c>
      <c r="G45" s="357">
        <f>SUM(G49,G50)</f>
        <v>69</v>
      </c>
      <c r="H45" s="357">
        <f>SUM(H49,H50)</f>
        <v>69</v>
      </c>
      <c r="I45" s="357">
        <f>SUM(I49:I50)</f>
        <v>63</v>
      </c>
      <c r="J45" s="357">
        <f>SUM(J49:J50)</f>
        <v>64</v>
      </c>
    </row>
    <row r="46" spans="2:12" x14ac:dyDescent="0.2">
      <c r="C46" s="344" t="s">
        <v>183</v>
      </c>
      <c r="D46" s="345">
        <v>50</v>
      </c>
      <c r="E46" s="345">
        <v>48</v>
      </c>
      <c r="F46" s="345">
        <v>43</v>
      </c>
      <c r="G46" s="346">
        <v>43</v>
      </c>
      <c r="H46" s="281">
        <v>48</v>
      </c>
      <c r="I46" s="281">
        <v>45</v>
      </c>
      <c r="J46" s="281">
        <v>52</v>
      </c>
    </row>
    <row r="47" spans="2:12" x14ac:dyDescent="0.2">
      <c r="C47" s="344" t="s">
        <v>185</v>
      </c>
      <c r="D47" s="341">
        <v>26</v>
      </c>
      <c r="E47" s="341">
        <v>19</v>
      </c>
      <c r="F47" s="345">
        <v>23</v>
      </c>
      <c r="G47" s="345">
        <v>26</v>
      </c>
      <c r="H47" s="345">
        <v>21</v>
      </c>
      <c r="I47" s="345">
        <v>18</v>
      </c>
      <c r="J47" s="345">
        <v>12</v>
      </c>
    </row>
    <row r="48" spans="2:12" ht="12" customHeight="1" x14ac:dyDescent="0.2"/>
    <row r="49" spans="2:10" x14ac:dyDescent="0.2">
      <c r="C49" s="351" t="s">
        <v>26</v>
      </c>
      <c r="D49" s="341">
        <v>35</v>
      </c>
      <c r="E49" s="341">
        <v>29</v>
      </c>
      <c r="F49" s="341">
        <v>25</v>
      </c>
      <c r="G49" s="341">
        <v>23</v>
      </c>
      <c r="H49" s="341">
        <v>25</v>
      </c>
      <c r="I49" s="341">
        <v>30</v>
      </c>
      <c r="J49" s="341">
        <v>29</v>
      </c>
    </row>
    <row r="50" spans="2:10" x14ac:dyDescent="0.2">
      <c r="C50" s="351" t="s">
        <v>25</v>
      </c>
      <c r="D50" s="341">
        <v>41</v>
      </c>
      <c r="E50" s="341">
        <v>38</v>
      </c>
      <c r="F50" s="341">
        <v>41</v>
      </c>
      <c r="G50" s="346">
        <v>46</v>
      </c>
      <c r="H50" s="341">
        <v>44</v>
      </c>
      <c r="I50" s="341">
        <v>33</v>
      </c>
      <c r="J50" s="341">
        <v>35</v>
      </c>
    </row>
    <row r="53" spans="2:10" x14ac:dyDescent="0.2">
      <c r="C53" s="348" t="s">
        <v>149</v>
      </c>
      <c r="D53" s="355"/>
      <c r="E53" s="355"/>
      <c r="F53" s="98"/>
      <c r="G53" s="346"/>
      <c r="H53" s="281"/>
      <c r="I53" s="281"/>
      <c r="J53" s="281"/>
    </row>
    <row r="54" spans="2:10" x14ac:dyDescent="0.2">
      <c r="C54" s="344" t="s">
        <v>183</v>
      </c>
      <c r="D54" s="341">
        <v>12</v>
      </c>
      <c r="E54" s="341">
        <v>11</v>
      </c>
      <c r="F54" s="341">
        <v>9</v>
      </c>
      <c r="G54" s="341">
        <v>8</v>
      </c>
      <c r="H54" s="341">
        <v>8</v>
      </c>
      <c r="I54" s="341">
        <v>9</v>
      </c>
      <c r="J54" s="341">
        <v>9</v>
      </c>
    </row>
    <row r="55" spans="2:10" x14ac:dyDescent="0.2">
      <c r="C55" s="344" t="s">
        <v>185</v>
      </c>
      <c r="D55" s="341">
        <v>3</v>
      </c>
      <c r="E55" s="341">
        <v>3</v>
      </c>
      <c r="F55" s="341">
        <v>3</v>
      </c>
      <c r="G55" s="341">
        <v>3</v>
      </c>
      <c r="H55" s="341">
        <v>3</v>
      </c>
      <c r="I55" s="341">
        <v>3</v>
      </c>
      <c r="J55" s="341">
        <v>2</v>
      </c>
    </row>
    <row r="56" spans="2:10" ht="10.5" customHeight="1" x14ac:dyDescent="0.2">
      <c r="C56" s="344"/>
      <c r="D56" s="341"/>
      <c r="E56" s="341"/>
      <c r="F56" s="341"/>
      <c r="G56" s="341"/>
      <c r="H56" s="341"/>
      <c r="I56" s="341"/>
      <c r="J56" s="341"/>
    </row>
    <row r="57" spans="2:10" x14ac:dyDescent="0.2">
      <c r="C57" s="351" t="s">
        <v>26</v>
      </c>
      <c r="D57" s="341">
        <v>15</v>
      </c>
      <c r="E57" s="341">
        <v>14</v>
      </c>
      <c r="F57" s="341">
        <v>11</v>
      </c>
      <c r="G57" s="341">
        <v>11</v>
      </c>
      <c r="H57" s="341">
        <v>11</v>
      </c>
      <c r="I57" s="341">
        <v>11</v>
      </c>
      <c r="J57" s="341">
        <v>11</v>
      </c>
    </row>
    <row r="58" spans="2:10" x14ac:dyDescent="0.2">
      <c r="C58" s="359" t="s">
        <v>25</v>
      </c>
      <c r="D58" s="360">
        <v>0</v>
      </c>
      <c r="E58" s="360">
        <v>0</v>
      </c>
      <c r="F58" s="360">
        <v>1</v>
      </c>
      <c r="G58" s="358">
        <v>0</v>
      </c>
      <c r="H58" s="360">
        <v>0</v>
      </c>
      <c r="I58" s="360">
        <v>0</v>
      </c>
      <c r="J58" s="360">
        <v>0</v>
      </c>
    </row>
    <row r="60" spans="2:10" x14ac:dyDescent="0.2">
      <c r="B60" s="342"/>
      <c r="C60" s="64" t="s">
        <v>119</v>
      </c>
      <c r="D60" s="342"/>
      <c r="E60" s="342"/>
      <c r="F60" s="341"/>
    </row>
    <row r="61" spans="2:10" ht="40.5" customHeight="1" x14ac:dyDescent="0.2">
      <c r="B61" s="362">
        <v>1</v>
      </c>
      <c r="C61" s="388" t="s">
        <v>186</v>
      </c>
      <c r="D61" s="388"/>
      <c r="E61" s="388"/>
      <c r="F61" s="388"/>
    </row>
    <row r="62" spans="2:10" ht="14.25" x14ac:dyDescent="0.2">
      <c r="B62" s="363"/>
      <c r="C62" s="342"/>
      <c r="D62" s="342"/>
      <c r="E62" s="342"/>
      <c r="F62" s="341"/>
    </row>
    <row r="63" spans="2:10" ht="14.25" x14ac:dyDescent="0.2">
      <c r="B63" s="363"/>
      <c r="C63" s="361" t="s">
        <v>290</v>
      </c>
      <c r="D63" s="342"/>
      <c r="E63" s="342"/>
      <c r="F63" s="341"/>
    </row>
    <row r="64" spans="2:10" ht="14.25" x14ac:dyDescent="0.2">
      <c r="B64" s="364"/>
    </row>
    <row r="65" spans="2:7" x14ac:dyDescent="0.2">
      <c r="C65" s="365"/>
    </row>
    <row r="66" spans="2:7" x14ac:dyDescent="0.2">
      <c r="C66" s="365"/>
    </row>
    <row r="67" spans="2:7" x14ac:dyDescent="0.2">
      <c r="B67" s="338"/>
      <c r="C67" s="338"/>
    </row>
    <row r="68" spans="2:7" ht="9" customHeight="1" x14ac:dyDescent="0.2"/>
    <row r="69" spans="2:7" x14ac:dyDescent="0.2">
      <c r="B69" s="338"/>
      <c r="C69" s="338"/>
      <c r="D69" s="338"/>
      <c r="E69" s="338"/>
      <c r="F69" s="338"/>
      <c r="G69" s="338"/>
    </row>
  </sheetData>
  <mergeCells count="2">
    <mergeCell ref="C61:F61"/>
    <mergeCell ref="C9:J9"/>
  </mergeCells>
  <phoneticPr fontId="0" type="noConversion"/>
  <pageMargins left="0.98425196850393704" right="0.98425196850393704" top="0.98425196850393704" bottom="0.98425196850393704" header="0.51181102362204722" footer="0.51181102362204722"/>
  <pageSetup scale="62" orientation="portrait" r:id="rId1"/>
  <headerFooter alignWithMargins="0"/>
  <ignoredErrors>
    <ignoredError sqref="E20:H20 E30 G30:H30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150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9525</xdr:rowOff>
              </from>
              <to>
                <xdr:col>1</xdr:col>
                <xdr:colOff>104775</xdr:colOff>
                <xdr:row>0</xdr:row>
                <xdr:rowOff>57150</xdr:rowOff>
              </to>
            </anchor>
          </objectPr>
        </oleObject>
      </mc:Choice>
      <mc:Fallback>
        <oleObject progId="MSPhotoEd.3" shapeId="21505" r:id="rId4"/>
      </mc:Fallback>
    </mc:AlternateContent>
    <mc:AlternateContent xmlns:mc="http://schemas.openxmlformats.org/markup-compatibility/2006">
      <mc:Choice Requires="x14">
        <oleObject progId="MSPhotoEd.3" shapeId="21506" r:id="rId6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19050</xdr:rowOff>
              </from>
              <to>
                <xdr:col>2</xdr:col>
                <xdr:colOff>238125</xdr:colOff>
                <xdr:row>3</xdr:row>
                <xdr:rowOff>161925</xdr:rowOff>
              </to>
            </anchor>
          </objectPr>
        </oleObject>
      </mc:Choice>
      <mc:Fallback>
        <oleObject progId="MSPhotoEd.3" shapeId="21506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6"/>
  <sheetViews>
    <sheetView workbookViewId="0">
      <selection activeCell="E16" sqref="E16"/>
    </sheetView>
  </sheetViews>
  <sheetFormatPr defaultRowHeight="12.75" x14ac:dyDescent="0.2"/>
  <cols>
    <col min="1" max="1" width="6.140625" customWidth="1"/>
    <col min="2" max="2" width="13.140625" customWidth="1"/>
    <col min="3" max="3" width="21.28515625" customWidth="1"/>
    <col min="4" max="4" width="0.7109375" hidden="1" customWidth="1"/>
    <col min="5" max="5" width="22.140625" customWidth="1"/>
    <col min="6" max="6" width="4.28515625" customWidth="1"/>
    <col min="7" max="7" width="15.28515625" customWidth="1"/>
    <col min="8" max="8" width="11.28515625" customWidth="1"/>
  </cols>
  <sheetData>
    <row r="1" spans="1:8" ht="15.75" x14ac:dyDescent="0.25">
      <c r="A1" s="1">
        <f>'3.03'!B9+0.01</f>
        <v>3.0399999999999996</v>
      </c>
      <c r="B1" s="13" t="s">
        <v>20</v>
      </c>
      <c r="C1" s="11"/>
      <c r="D1" s="11"/>
      <c r="E1" s="11"/>
      <c r="F1" s="11"/>
      <c r="G1" s="11"/>
      <c r="H1" s="11"/>
    </row>
    <row r="4" spans="1:8" ht="25.5" customHeight="1" x14ac:dyDescent="0.2">
      <c r="C4" s="30" t="s">
        <v>21</v>
      </c>
      <c r="D4" s="30"/>
      <c r="E4" s="30" t="s">
        <v>22</v>
      </c>
      <c r="F4" s="30"/>
      <c r="G4" s="30" t="s">
        <v>23</v>
      </c>
      <c r="H4" s="27" t="s">
        <v>24</v>
      </c>
    </row>
    <row r="6" spans="1:8" x14ac:dyDescent="0.2">
      <c r="B6" s="26" t="s">
        <v>17</v>
      </c>
    </row>
    <row r="8" spans="1:8" x14ac:dyDescent="0.2">
      <c r="B8" s="7">
        <v>1990</v>
      </c>
    </row>
    <row r="9" spans="1:8" x14ac:dyDescent="0.2">
      <c r="B9" s="6" t="s">
        <v>25</v>
      </c>
    </row>
    <row r="10" spans="1:8" x14ac:dyDescent="0.2">
      <c r="B10" s="6" t="s">
        <v>26</v>
      </c>
    </row>
    <row r="11" spans="1:8" x14ac:dyDescent="0.2">
      <c r="B11" s="7">
        <v>1991</v>
      </c>
    </row>
    <row r="12" spans="1:8" x14ac:dyDescent="0.2">
      <c r="B12" s="6" t="s">
        <v>25</v>
      </c>
    </row>
    <row r="13" spans="1:8" x14ac:dyDescent="0.2">
      <c r="B13" s="6" t="s">
        <v>26</v>
      </c>
    </row>
    <row r="14" spans="1:8" x14ac:dyDescent="0.2">
      <c r="B14" s="7">
        <v>1992</v>
      </c>
    </row>
    <row r="15" spans="1:8" x14ac:dyDescent="0.2">
      <c r="B15" s="6" t="s">
        <v>25</v>
      </c>
    </row>
    <row r="16" spans="1:8" x14ac:dyDescent="0.2">
      <c r="B16" s="6" t="s">
        <v>26</v>
      </c>
    </row>
    <row r="17" spans="2:8" x14ac:dyDescent="0.2">
      <c r="B17" s="10">
        <v>1993</v>
      </c>
    </row>
    <row r="18" spans="2:8" x14ac:dyDescent="0.2">
      <c r="B18" s="6" t="s">
        <v>25</v>
      </c>
    </row>
    <row r="19" spans="2:8" x14ac:dyDescent="0.2">
      <c r="B19" s="6" t="s">
        <v>26</v>
      </c>
    </row>
    <row r="20" spans="2:8" x14ac:dyDescent="0.2">
      <c r="B20" s="10">
        <v>1994</v>
      </c>
    </row>
    <row r="21" spans="2:8" x14ac:dyDescent="0.2">
      <c r="B21" s="6" t="s">
        <v>25</v>
      </c>
    </row>
    <row r="22" spans="2:8" x14ac:dyDescent="0.2">
      <c r="B22" s="6" t="s">
        <v>26</v>
      </c>
    </row>
    <row r="23" spans="2:8" x14ac:dyDescent="0.2">
      <c r="B23" s="10">
        <v>1995</v>
      </c>
    </row>
    <row r="24" spans="2:8" x14ac:dyDescent="0.2">
      <c r="B24" s="6" t="s">
        <v>25</v>
      </c>
    </row>
    <row r="25" spans="2:8" x14ac:dyDescent="0.2">
      <c r="B25" s="6" t="s">
        <v>26</v>
      </c>
    </row>
    <row r="26" spans="2:8" x14ac:dyDescent="0.2">
      <c r="B26" s="10">
        <v>1996</v>
      </c>
      <c r="G26">
        <v>45</v>
      </c>
    </row>
    <row r="27" spans="2:8" x14ac:dyDescent="0.2">
      <c r="B27" s="6" t="s">
        <v>25</v>
      </c>
    </row>
    <row r="28" spans="2:8" x14ac:dyDescent="0.2">
      <c r="B28" s="6" t="s">
        <v>26</v>
      </c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19"/>
      <c r="C30" s="19"/>
      <c r="D30" s="19"/>
      <c r="E30" s="19"/>
      <c r="F30" s="19"/>
      <c r="G30" s="19"/>
    </row>
    <row r="31" spans="2:8" x14ac:dyDescent="0.2">
      <c r="B31" s="7" t="s">
        <v>27</v>
      </c>
    </row>
    <row r="32" spans="2:8" x14ac:dyDescent="0.2">
      <c r="B32" s="18"/>
    </row>
    <row r="33" spans="2:2" x14ac:dyDescent="0.2">
      <c r="B33" s="7">
        <v>1990</v>
      </c>
    </row>
    <row r="34" spans="2:2" hidden="1" x14ac:dyDescent="0.2">
      <c r="B34" s="6" t="s">
        <v>7</v>
      </c>
    </row>
    <row r="35" spans="2:2" hidden="1" x14ac:dyDescent="0.2">
      <c r="B35" s="6" t="s">
        <v>8</v>
      </c>
    </row>
    <row r="36" spans="2:2" x14ac:dyDescent="0.2">
      <c r="B36" s="7">
        <v>1991</v>
      </c>
    </row>
    <row r="37" spans="2:2" hidden="1" x14ac:dyDescent="0.2">
      <c r="B37" s="6" t="s">
        <v>7</v>
      </c>
    </row>
    <row r="38" spans="2:2" hidden="1" x14ac:dyDescent="0.2">
      <c r="B38" s="6" t="s">
        <v>8</v>
      </c>
    </row>
    <row r="39" spans="2:2" ht="12.75" customHeight="1" x14ac:dyDescent="0.2">
      <c r="B39" s="7">
        <v>1992</v>
      </c>
    </row>
    <row r="40" spans="2:2" hidden="1" x14ac:dyDescent="0.2">
      <c r="B40" s="6" t="s">
        <v>7</v>
      </c>
    </row>
    <row r="41" spans="2:2" ht="12.75" hidden="1" customHeight="1" x14ac:dyDescent="0.2">
      <c r="B41" s="6" t="s">
        <v>8</v>
      </c>
    </row>
    <row r="42" spans="2:2" ht="13.5" customHeight="1" x14ac:dyDescent="0.2">
      <c r="B42" s="7">
        <v>1993</v>
      </c>
    </row>
    <row r="43" spans="2:2" hidden="1" x14ac:dyDescent="0.2">
      <c r="B43" s="6" t="s">
        <v>7</v>
      </c>
    </row>
    <row r="44" spans="2:2" hidden="1" x14ac:dyDescent="0.2">
      <c r="B44" s="6" t="s">
        <v>8</v>
      </c>
    </row>
    <row r="45" spans="2:2" x14ac:dyDescent="0.2">
      <c r="B45" s="7">
        <v>1994</v>
      </c>
    </row>
    <row r="46" spans="2:2" hidden="1" x14ac:dyDescent="0.2">
      <c r="B46" s="6" t="s">
        <v>7</v>
      </c>
    </row>
    <row r="47" spans="2:2" hidden="1" x14ac:dyDescent="0.2">
      <c r="B47" s="6" t="s">
        <v>8</v>
      </c>
    </row>
    <row r="48" spans="2:2" x14ac:dyDescent="0.2">
      <c r="B48" s="7">
        <v>1995</v>
      </c>
    </row>
    <row r="49" spans="2:2" hidden="1" x14ac:dyDescent="0.2">
      <c r="B49" s="6" t="s">
        <v>7</v>
      </c>
    </row>
    <row r="50" spans="2:2" hidden="1" x14ac:dyDescent="0.2">
      <c r="B50" s="6" t="s">
        <v>8</v>
      </c>
    </row>
    <row r="51" spans="2:2" x14ac:dyDescent="0.2">
      <c r="B51" s="7">
        <v>1996</v>
      </c>
    </row>
    <row r="52" spans="2:2" hidden="1" x14ac:dyDescent="0.2">
      <c r="B52" s="6" t="s">
        <v>7</v>
      </c>
    </row>
    <row r="53" spans="2:2" hidden="1" x14ac:dyDescent="0.2">
      <c r="B53" s="6" t="s">
        <v>8</v>
      </c>
    </row>
    <row r="55" spans="2:2" x14ac:dyDescent="0.2">
      <c r="B55" s="7" t="s">
        <v>28</v>
      </c>
    </row>
    <row r="57" spans="2:2" x14ac:dyDescent="0.2">
      <c r="B57" s="7" t="s">
        <v>29</v>
      </c>
    </row>
    <row r="58" spans="2:2" x14ac:dyDescent="0.2">
      <c r="B58" s="7" t="s">
        <v>30</v>
      </c>
    </row>
    <row r="60" spans="2:2" hidden="1" x14ac:dyDescent="0.2">
      <c r="B60" s="7">
        <v>1990</v>
      </c>
    </row>
    <row r="61" spans="2:2" hidden="1" x14ac:dyDescent="0.2">
      <c r="B61" s="7">
        <v>1991</v>
      </c>
    </row>
    <row r="62" spans="2:2" hidden="1" x14ac:dyDescent="0.2">
      <c r="B62" s="7">
        <v>1992</v>
      </c>
    </row>
    <row r="63" spans="2:2" hidden="1" x14ac:dyDescent="0.2">
      <c r="B63" s="7">
        <v>1993</v>
      </c>
    </row>
    <row r="64" spans="2:2" x14ac:dyDescent="0.2">
      <c r="B64" s="7">
        <v>1994</v>
      </c>
    </row>
    <row r="65" spans="2:2" x14ac:dyDescent="0.2">
      <c r="B65" s="7">
        <v>1995</v>
      </c>
    </row>
    <row r="66" spans="2:2" x14ac:dyDescent="0.2">
      <c r="B66" s="7">
        <v>1996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0"/>
  <sheetViews>
    <sheetView workbookViewId="0">
      <selection activeCell="E14" sqref="E14"/>
    </sheetView>
  </sheetViews>
  <sheetFormatPr defaultRowHeight="12.75" x14ac:dyDescent="0.2"/>
  <cols>
    <col min="1" max="1" width="26.85546875" customWidth="1"/>
    <col min="2" max="2" width="9.42578125" customWidth="1"/>
  </cols>
  <sheetData>
    <row r="1" spans="1:7" ht="15.75" x14ac:dyDescent="0.25">
      <c r="A1" s="31" t="s">
        <v>31</v>
      </c>
      <c r="B1" s="31" t="s">
        <v>32</v>
      </c>
    </row>
    <row r="4" spans="1:7" x14ac:dyDescent="0.2">
      <c r="C4" s="9">
        <v>1996</v>
      </c>
      <c r="D4" s="9">
        <v>1997</v>
      </c>
      <c r="E4" s="9">
        <v>1998</v>
      </c>
      <c r="F4" s="9">
        <v>1999</v>
      </c>
      <c r="G4" s="9"/>
    </row>
    <row r="5" spans="1:7" x14ac:dyDescent="0.2">
      <c r="C5" s="19"/>
      <c r="D5" s="19"/>
      <c r="E5" s="19"/>
      <c r="F5" s="19"/>
      <c r="G5" s="19"/>
    </row>
    <row r="6" spans="1:7" x14ac:dyDescent="0.2">
      <c r="A6" s="7" t="s">
        <v>17</v>
      </c>
      <c r="C6" s="19"/>
      <c r="D6" s="19"/>
      <c r="E6" s="19"/>
      <c r="F6" s="19"/>
      <c r="G6" s="19"/>
    </row>
    <row r="7" spans="1:7" x14ac:dyDescent="0.2">
      <c r="A7" s="18" t="s">
        <v>33</v>
      </c>
      <c r="C7" s="19">
        <v>40</v>
      </c>
      <c r="D7" s="19"/>
      <c r="E7" s="19"/>
      <c r="F7" s="19"/>
      <c r="G7" s="19"/>
    </row>
    <row r="8" spans="1:7" x14ac:dyDescent="0.2">
      <c r="A8" s="18" t="s">
        <v>8</v>
      </c>
      <c r="C8" s="19">
        <v>117</v>
      </c>
      <c r="D8" s="19"/>
      <c r="E8" s="19"/>
      <c r="F8" s="19"/>
      <c r="G8" s="19"/>
    </row>
    <row r="9" spans="1:7" x14ac:dyDescent="0.2">
      <c r="C9" s="19"/>
      <c r="D9" s="19"/>
      <c r="E9" s="19"/>
      <c r="F9" s="19"/>
      <c r="G9" s="19"/>
    </row>
    <row r="10" spans="1:7" x14ac:dyDescent="0.2">
      <c r="C10" s="19"/>
      <c r="D10" s="19"/>
      <c r="E10" s="19"/>
      <c r="F10" s="19"/>
      <c r="G10" s="19"/>
    </row>
    <row r="12" spans="1:7" x14ac:dyDescent="0.2">
      <c r="A12" s="7" t="s">
        <v>34</v>
      </c>
      <c r="C12">
        <v>69</v>
      </c>
    </row>
    <row r="14" spans="1:7" x14ac:dyDescent="0.2">
      <c r="A14" s="7" t="s">
        <v>35</v>
      </c>
      <c r="C14">
        <v>65</v>
      </c>
    </row>
    <row r="16" spans="1:7" x14ac:dyDescent="0.2">
      <c r="A16" s="7" t="s">
        <v>36</v>
      </c>
      <c r="C16">
        <v>4</v>
      </c>
    </row>
    <row r="19" spans="1:3" x14ac:dyDescent="0.2">
      <c r="A19" s="7" t="s">
        <v>37</v>
      </c>
      <c r="C19">
        <v>77</v>
      </c>
    </row>
    <row r="21" spans="1:3" x14ac:dyDescent="0.2">
      <c r="A21" s="7" t="s">
        <v>35</v>
      </c>
      <c r="C21">
        <v>68</v>
      </c>
    </row>
    <row r="23" spans="1:3" x14ac:dyDescent="0.2">
      <c r="A23" s="7" t="s">
        <v>38</v>
      </c>
      <c r="C23">
        <v>9</v>
      </c>
    </row>
    <row r="24" spans="1:3" x14ac:dyDescent="0.2">
      <c r="A24" s="7"/>
    </row>
    <row r="26" spans="1:3" x14ac:dyDescent="0.2">
      <c r="A26" s="7" t="s">
        <v>39</v>
      </c>
      <c r="C26">
        <v>20</v>
      </c>
    </row>
    <row r="28" spans="1:3" x14ac:dyDescent="0.2">
      <c r="A28" s="7" t="s">
        <v>40</v>
      </c>
      <c r="C28">
        <v>13</v>
      </c>
    </row>
    <row r="30" spans="1:3" x14ac:dyDescent="0.2">
      <c r="A30" s="7" t="s">
        <v>41</v>
      </c>
      <c r="C30">
        <v>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B4:AI85"/>
  <sheetViews>
    <sheetView view="pageBreakPreview" zoomScaleNormal="75" zoomScaleSheetLayoutView="75" workbookViewId="0">
      <pane xSplit="6" ySplit="12" topLeftCell="G16" activePane="bottomRight" state="frozen"/>
      <selection activeCell="P12" sqref="P12"/>
      <selection pane="topRight" activeCell="P12" sqref="P12"/>
      <selection pane="bottomLeft" activeCell="P12" sqref="P12"/>
      <selection pane="bottomRight" activeCell="C41" sqref="C41"/>
    </sheetView>
  </sheetViews>
  <sheetFormatPr defaultColWidth="9.140625" defaultRowHeight="12.75" outlineLevelRow="1" x14ac:dyDescent="0.2"/>
  <cols>
    <col min="1" max="1" width="4.28515625" style="117" customWidth="1"/>
    <col min="2" max="2" width="6.42578125" style="117" customWidth="1"/>
    <col min="3" max="3" width="33.28515625" style="117" customWidth="1"/>
    <col min="4" max="5" width="13" style="117" hidden="1" customWidth="1"/>
    <col min="6" max="6" width="11" style="117" hidden="1" customWidth="1"/>
    <col min="7" max="7" width="9.5703125" style="117" hidden="1" customWidth="1"/>
    <col min="8" max="8" width="0" style="117" hidden="1" customWidth="1"/>
    <col min="9" max="9" width="9.28515625" style="117" hidden="1" customWidth="1"/>
    <col min="10" max="10" width="7.85546875" style="117" hidden="1" customWidth="1"/>
    <col min="11" max="11" width="8.140625" style="117" hidden="1" customWidth="1"/>
    <col min="12" max="12" width="13.28515625" style="117" hidden="1" customWidth="1"/>
    <col min="13" max="13" width="0" style="118" hidden="1" customWidth="1"/>
    <col min="14" max="14" width="9.28515625" style="118" hidden="1" customWidth="1"/>
    <col min="15" max="15" width="9" style="117" hidden="1" customWidth="1"/>
    <col min="16" max="16" width="8.85546875" style="117" hidden="1" customWidth="1"/>
    <col min="17" max="17" width="9" style="117" hidden="1" customWidth="1"/>
    <col min="18" max="19" width="12.7109375" style="117" hidden="1" customWidth="1"/>
    <col min="20" max="24" width="12.7109375" style="117" customWidth="1"/>
    <col min="25" max="25" width="9.140625" style="117" customWidth="1"/>
    <col min="26" max="26" width="11.140625" style="117" customWidth="1"/>
    <col min="27" max="27" width="10.85546875" style="117" customWidth="1"/>
    <col min="28" max="16384" width="9.140625" style="117"/>
  </cols>
  <sheetData>
    <row r="4" spans="2:35" ht="16.5" x14ac:dyDescent="0.3">
      <c r="N4" s="392" t="s">
        <v>172</v>
      </c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156"/>
    </row>
    <row r="5" spans="2:35" ht="9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8" spans="2:35" s="119" customFormat="1" ht="15.75" x14ac:dyDescent="0.25">
      <c r="B8" s="164">
        <v>3.05</v>
      </c>
      <c r="C8" s="393" t="s">
        <v>213</v>
      </c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157"/>
    </row>
    <row r="9" spans="2:35" x14ac:dyDescent="0.2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6"/>
      <c r="N9" s="166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2:35" ht="12.75" customHeight="1" x14ac:dyDescent="0.25">
      <c r="B10" s="165"/>
      <c r="C10" s="165"/>
      <c r="D10" s="167"/>
      <c r="E10" s="167"/>
      <c r="F10" s="167"/>
      <c r="G10" s="167"/>
      <c r="H10" s="167"/>
      <c r="I10" s="168"/>
      <c r="J10" s="168"/>
      <c r="K10" s="168"/>
      <c r="L10" s="165"/>
      <c r="M10" s="166"/>
      <c r="N10" s="166"/>
      <c r="O10" s="165"/>
      <c r="P10" s="165"/>
      <c r="Q10" s="165"/>
      <c r="R10" s="165"/>
      <c r="S10" s="165"/>
      <c r="T10" s="165"/>
      <c r="U10" s="165"/>
      <c r="V10" s="169"/>
      <c r="W10" s="169"/>
      <c r="X10" s="170" t="s">
        <v>139</v>
      </c>
      <c r="Y10" s="163"/>
    </row>
    <row r="11" spans="2:35" x14ac:dyDescent="0.2">
      <c r="B11" s="165"/>
      <c r="C11" s="171"/>
      <c r="D11" s="172">
        <v>1995</v>
      </c>
      <c r="E11" s="172">
        <v>1996</v>
      </c>
      <c r="F11" s="172">
        <v>1997</v>
      </c>
      <c r="G11" s="172">
        <v>1998</v>
      </c>
      <c r="H11" s="172">
        <v>1999</v>
      </c>
      <c r="I11" s="173">
        <f>H11+1</f>
        <v>2000</v>
      </c>
      <c r="J11" s="173">
        <f>I11+1</f>
        <v>2001</v>
      </c>
      <c r="K11" s="173">
        <f>J11+1</f>
        <v>2002</v>
      </c>
      <c r="L11" s="173">
        <f>K11+1</f>
        <v>2003</v>
      </c>
      <c r="M11" s="172">
        <v>2000</v>
      </c>
      <c r="N11" s="172">
        <v>2001</v>
      </c>
      <c r="O11" s="172">
        <v>2002</v>
      </c>
      <c r="P11" s="172">
        <v>2003</v>
      </c>
      <c r="Q11" s="172">
        <v>2004</v>
      </c>
      <c r="R11" s="172">
        <v>2005</v>
      </c>
      <c r="S11" s="172">
        <v>2006</v>
      </c>
      <c r="T11" s="172">
        <v>2007</v>
      </c>
      <c r="U11" s="172">
        <v>2008</v>
      </c>
      <c r="V11" s="174">
        <v>2009</v>
      </c>
      <c r="W11" s="175">
        <v>2010</v>
      </c>
      <c r="X11" s="175">
        <v>2011</v>
      </c>
      <c r="Y11" s="175">
        <v>2012</v>
      </c>
    </row>
    <row r="12" spans="2:35" x14ac:dyDescent="0.2">
      <c r="B12" s="165"/>
      <c r="C12" s="176" t="s">
        <v>16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8"/>
      <c r="N12" s="178"/>
      <c r="O12" s="177"/>
      <c r="P12" s="177"/>
      <c r="Q12" s="177"/>
      <c r="R12" s="177"/>
      <c r="S12" s="177"/>
      <c r="T12" s="177"/>
      <c r="U12" s="177"/>
      <c r="V12" s="177"/>
      <c r="W12" s="165"/>
      <c r="X12" s="165"/>
      <c r="Y12" s="165"/>
    </row>
    <row r="13" spans="2:35" x14ac:dyDescent="0.2">
      <c r="B13" s="165"/>
      <c r="C13" s="179"/>
      <c r="D13" s="177"/>
      <c r="E13" s="177"/>
      <c r="F13" s="177"/>
      <c r="G13" s="177"/>
      <c r="H13" s="177"/>
      <c r="I13" s="177"/>
      <c r="J13" s="177"/>
      <c r="K13" s="177"/>
      <c r="L13" s="177"/>
      <c r="M13" s="178"/>
      <c r="N13" s="178"/>
      <c r="O13" s="177"/>
      <c r="P13" s="177"/>
      <c r="Q13" s="177"/>
      <c r="R13" s="177"/>
      <c r="S13" s="177"/>
      <c r="T13" s="177"/>
      <c r="U13" s="177"/>
      <c r="V13" s="177"/>
      <c r="W13" s="165"/>
      <c r="X13" s="165"/>
      <c r="Y13" s="165"/>
      <c r="Z13" s="123"/>
    </row>
    <row r="14" spans="2:35" s="124" customFormat="1" ht="14.25" x14ac:dyDescent="0.2">
      <c r="B14" s="180"/>
      <c r="C14" s="181" t="s">
        <v>1</v>
      </c>
      <c r="D14" s="182">
        <f>D15+D16</f>
        <v>7042213.1500000004</v>
      </c>
      <c r="E14" s="182">
        <f>E15+E16</f>
        <v>6156703.4900000002</v>
      </c>
      <c r="F14" s="182">
        <f>F15+F16</f>
        <v>7033313.9800000004</v>
      </c>
      <c r="G14" s="183">
        <f t="shared" ref="G14:N14" si="0">SUM(G15:G16)</f>
        <v>7228.1</v>
      </c>
      <c r="H14" s="183">
        <f t="shared" si="0"/>
        <v>10720.038</v>
      </c>
      <c r="I14" s="183">
        <f t="shared" si="0"/>
        <v>0</v>
      </c>
      <c r="J14" s="183">
        <f t="shared" si="0"/>
        <v>0</v>
      </c>
      <c r="K14" s="183">
        <f t="shared" si="0"/>
        <v>0</v>
      </c>
      <c r="L14" s="183">
        <f t="shared" si="0"/>
        <v>0</v>
      </c>
      <c r="M14" s="183">
        <f t="shared" si="0"/>
        <v>10527.824000000001</v>
      </c>
      <c r="N14" s="184">
        <f t="shared" si="0"/>
        <v>11654.50908</v>
      </c>
      <c r="O14" s="184">
        <f>SUM(O15:O16)</f>
        <v>12171.915809999999</v>
      </c>
      <c r="P14" s="185" t="s">
        <v>112</v>
      </c>
      <c r="Q14" s="185" t="s">
        <v>112</v>
      </c>
      <c r="R14" s="186">
        <f t="shared" ref="R14:X14" si="1">SUM(R15:R16)</f>
        <v>16907.589749999999</v>
      </c>
      <c r="S14" s="187">
        <f t="shared" si="1"/>
        <v>24552.851999999999</v>
      </c>
      <c r="T14" s="187">
        <f t="shared" si="1"/>
        <v>27073.154999999999</v>
      </c>
      <c r="U14" s="187">
        <f t="shared" si="1"/>
        <v>30716.088000000003</v>
      </c>
      <c r="V14" s="187">
        <f t="shared" si="1"/>
        <v>31476.644</v>
      </c>
      <c r="W14" s="187">
        <f t="shared" si="1"/>
        <v>28806.389349999998</v>
      </c>
      <c r="X14" s="187">
        <f t="shared" si="1"/>
        <v>1515.3</v>
      </c>
      <c r="Y14" s="187"/>
      <c r="Z14" s="92"/>
    </row>
    <row r="15" spans="2:35" ht="14.25" x14ac:dyDescent="0.2">
      <c r="B15" s="165"/>
      <c r="C15" s="188" t="s">
        <v>4</v>
      </c>
      <c r="D15" s="178">
        <v>3931140</v>
      </c>
      <c r="E15" s="178">
        <v>3094373</v>
      </c>
      <c r="F15" s="178">
        <v>3614646</v>
      </c>
      <c r="G15" s="189">
        <v>3811.3</v>
      </c>
      <c r="H15" s="189">
        <f>5852301/1000</f>
        <v>5852.3010000000004</v>
      </c>
      <c r="I15" s="189"/>
      <c r="J15" s="189"/>
      <c r="K15" s="189"/>
      <c r="L15" s="189"/>
      <c r="M15" s="189">
        <v>6020</v>
      </c>
      <c r="N15" s="189">
        <f>6896896/1000</f>
        <v>6896.8959999999997</v>
      </c>
      <c r="O15" s="189">
        <f>6802288/1000</f>
        <v>6802.2879999999996</v>
      </c>
      <c r="P15" s="190" t="s">
        <v>112</v>
      </c>
      <c r="Q15" s="191">
        <f>8241300/1000</f>
        <v>8241.2999999999993</v>
      </c>
      <c r="R15" s="191">
        <f>13872700/1000</f>
        <v>13872.7</v>
      </c>
      <c r="S15" s="191">
        <f>14147083/1000</f>
        <v>14147.083000000001</v>
      </c>
      <c r="T15" s="192">
        <f>16655731/1000</f>
        <v>16655.731</v>
      </c>
      <c r="U15" s="193">
        <v>18598.900000000001</v>
      </c>
      <c r="V15" s="194">
        <v>18644.8</v>
      </c>
      <c r="W15" s="194">
        <v>17061</v>
      </c>
      <c r="X15" s="194"/>
      <c r="Y15" s="194"/>
      <c r="Z15" s="61"/>
      <c r="AC15" s="121">
        <f>(2809000/5129000)*100</f>
        <v>54.767011113277441</v>
      </c>
    </row>
    <row r="16" spans="2:35" x14ac:dyDescent="0.2">
      <c r="B16" s="165"/>
      <c r="C16" s="188" t="s">
        <v>5</v>
      </c>
      <c r="D16" s="178">
        <f>SUM(D17:D26)</f>
        <v>3111073.15</v>
      </c>
      <c r="E16" s="178">
        <f>SUM(E17:E26)</f>
        <v>3062330.4899999998</v>
      </c>
      <c r="F16" s="178">
        <f>SUM(F17:F26)</f>
        <v>3418667.98</v>
      </c>
      <c r="G16" s="195">
        <f>SUM(G17:G26)</f>
        <v>3416.7999999999997</v>
      </c>
      <c r="H16" s="195">
        <f>SUM(H17:H26)</f>
        <v>4867.7370000000001</v>
      </c>
      <c r="I16" s="196"/>
      <c r="J16" s="196"/>
      <c r="K16" s="196"/>
      <c r="L16" s="196"/>
      <c r="M16" s="195">
        <f t="shared" ref="M16:T16" si="2">SUM(M17:M26)</f>
        <v>4507.8239999999996</v>
      </c>
      <c r="N16" s="195">
        <f t="shared" si="2"/>
        <v>4757.6130800000001</v>
      </c>
      <c r="O16" s="195">
        <f t="shared" si="2"/>
        <v>5369.62781</v>
      </c>
      <c r="P16" s="197">
        <f t="shared" si="2"/>
        <v>4385.1428599999999</v>
      </c>
      <c r="Q16" s="197">
        <f t="shared" si="2"/>
        <v>1077.71811</v>
      </c>
      <c r="R16" s="197">
        <f t="shared" si="2"/>
        <v>3034.8897500000003</v>
      </c>
      <c r="S16" s="182">
        <f t="shared" si="2"/>
        <v>10405.769</v>
      </c>
      <c r="T16" s="197">
        <f t="shared" si="2"/>
        <v>10417.423999999999</v>
      </c>
      <c r="U16" s="198">
        <f>SUM(U17:U26)</f>
        <v>12117.188</v>
      </c>
      <c r="V16" s="198">
        <f>SUM(V17:V26)</f>
        <v>12831.843999999999</v>
      </c>
      <c r="W16" s="198">
        <f>SUM(W18:W26)</f>
        <v>11745.389349999999</v>
      </c>
      <c r="X16" s="198">
        <f>SUM(X18:X26)</f>
        <v>1515.3</v>
      </c>
      <c r="Y16" s="198"/>
      <c r="Z16" s="61"/>
    </row>
    <row r="17" spans="2:27" ht="14.25" x14ac:dyDescent="0.2">
      <c r="B17" s="165"/>
      <c r="C17" s="199" t="s">
        <v>81</v>
      </c>
      <c r="D17" s="178">
        <f>988390/2</f>
        <v>494195</v>
      </c>
      <c r="E17" s="178">
        <f>1040282/2</f>
        <v>520141</v>
      </c>
      <c r="F17" s="178">
        <v>1082080</v>
      </c>
      <c r="G17" s="189">
        <v>1132.0999999999999</v>
      </c>
      <c r="H17" s="189">
        <f>872437/1000</f>
        <v>872.43700000000001</v>
      </c>
      <c r="I17" s="178"/>
      <c r="J17" s="178"/>
      <c r="K17" s="178"/>
      <c r="L17" s="178"/>
      <c r="M17" s="185" t="s">
        <v>112</v>
      </c>
      <c r="N17" s="185" t="s">
        <v>112</v>
      </c>
      <c r="O17" s="185" t="s">
        <v>112</v>
      </c>
      <c r="P17" s="185" t="s">
        <v>112</v>
      </c>
      <c r="Q17" s="185" t="s">
        <v>112</v>
      </c>
      <c r="R17" s="185" t="s">
        <v>112</v>
      </c>
      <c r="S17" s="192">
        <f>1057126/1000</f>
        <v>1057.126</v>
      </c>
      <c r="T17" s="192">
        <f>1281784/1000</f>
        <v>1281.7840000000001</v>
      </c>
      <c r="U17" s="200">
        <f>710325/1000</f>
        <v>710.32500000000005</v>
      </c>
      <c r="V17" s="192">
        <f>826108/1000</f>
        <v>826.10799999999995</v>
      </c>
      <c r="W17" s="194">
        <v>709.2</v>
      </c>
      <c r="X17" s="194"/>
      <c r="Y17" s="194"/>
      <c r="Z17" s="61"/>
    </row>
    <row r="18" spans="2:27" ht="14.25" x14ac:dyDescent="0.2">
      <c r="B18" s="165"/>
      <c r="C18" s="199" t="s">
        <v>94</v>
      </c>
      <c r="D18" s="178">
        <v>615920</v>
      </c>
      <c r="E18" s="178">
        <v>615920</v>
      </c>
      <c r="F18" s="178">
        <v>770922</v>
      </c>
      <c r="G18" s="189">
        <v>756</v>
      </c>
      <c r="H18" s="189">
        <f>(955000*0.84)/1000</f>
        <v>802.2</v>
      </c>
      <c r="I18" s="178"/>
      <c r="J18" s="178"/>
      <c r="K18" s="178"/>
      <c r="L18" s="178"/>
      <c r="M18" s="189">
        <f>1147*0.84</f>
        <v>963.48</v>
      </c>
      <c r="N18" s="189">
        <f>(1132712/1000)*0.84</f>
        <v>951.47807999999998</v>
      </c>
      <c r="O18" s="189">
        <f>1533785.81/1000</f>
        <v>1533.7858100000001</v>
      </c>
      <c r="P18" s="189">
        <f>1531152.72/1000</f>
        <v>1531.15272</v>
      </c>
      <c r="Q18" s="185" t="s">
        <v>112</v>
      </c>
      <c r="R18" s="189">
        <f>1552176/1000</f>
        <v>1552.1759999999999</v>
      </c>
      <c r="S18" s="189">
        <f>1760474/1000</f>
        <v>1760.4739999999999</v>
      </c>
      <c r="T18" s="189">
        <f>2033051/1000</f>
        <v>2033.0509999999999</v>
      </c>
      <c r="U18" s="200">
        <f>2100514/1000</f>
        <v>2100.5140000000001</v>
      </c>
      <c r="V18" s="200">
        <f>2276490/1000</f>
        <v>2276.4899999999998</v>
      </c>
      <c r="W18" s="194">
        <v>2026.77035</v>
      </c>
      <c r="X18" s="194"/>
      <c r="Y18" s="194"/>
      <c r="Z18" s="61"/>
    </row>
    <row r="19" spans="2:27" ht="14.25" x14ac:dyDescent="0.2">
      <c r="B19" s="165"/>
      <c r="C19" s="199" t="s">
        <v>79</v>
      </c>
      <c r="D19" s="178">
        <v>570271.92000000004</v>
      </c>
      <c r="E19" s="178">
        <v>385498.34</v>
      </c>
      <c r="F19" s="178">
        <v>290031</v>
      </c>
      <c r="G19" s="185" t="s">
        <v>112</v>
      </c>
      <c r="H19" s="185" t="s">
        <v>112</v>
      </c>
      <c r="I19" s="178"/>
      <c r="J19" s="178"/>
      <c r="K19" s="178"/>
      <c r="L19" s="178"/>
      <c r="M19" s="189">
        <v>330</v>
      </c>
      <c r="N19" s="189">
        <f>373620/1000</f>
        <v>373.62</v>
      </c>
      <c r="O19" s="189">
        <f>427817/1000</f>
        <v>427.81700000000001</v>
      </c>
      <c r="P19" s="189">
        <f>375140.65/1000</f>
        <v>375.14065000000005</v>
      </c>
      <c r="Q19" s="185" t="s">
        <v>112</v>
      </c>
      <c r="R19" s="185" t="s">
        <v>112</v>
      </c>
      <c r="S19" s="192">
        <f>539000/1000</f>
        <v>539</v>
      </c>
      <c r="T19" s="192">
        <f>473000/1000</f>
        <v>473</v>
      </c>
      <c r="U19" s="200">
        <f>355000/1000</f>
        <v>355</v>
      </c>
      <c r="V19" s="200">
        <f>372722/1000</f>
        <v>372.72199999999998</v>
      </c>
      <c r="W19" s="194">
        <v>514.17462</v>
      </c>
      <c r="X19" s="194"/>
      <c r="Y19" s="194"/>
    </row>
    <row r="20" spans="2:27" ht="14.25" x14ac:dyDescent="0.2">
      <c r="B20" s="165"/>
      <c r="C20" s="199" t="s">
        <v>218</v>
      </c>
      <c r="D20" s="178"/>
      <c r="E20" s="178"/>
      <c r="F20" s="178"/>
      <c r="G20" s="185"/>
      <c r="H20" s="185"/>
      <c r="I20" s="178"/>
      <c r="J20" s="178"/>
      <c r="K20" s="178"/>
      <c r="L20" s="178"/>
      <c r="M20" s="189"/>
      <c r="N20" s="189"/>
      <c r="O20" s="189"/>
      <c r="P20" s="189"/>
      <c r="Q20" s="185"/>
      <c r="R20" s="185"/>
      <c r="S20" s="192"/>
      <c r="T20" s="192"/>
      <c r="U20" s="200"/>
      <c r="V20" s="200"/>
      <c r="W20" s="194"/>
      <c r="X20" s="194"/>
      <c r="Y20" s="194"/>
    </row>
    <row r="21" spans="2:27" ht="14.25" x14ac:dyDescent="0.2">
      <c r="B21" s="165"/>
      <c r="C21" s="199" t="s">
        <v>216</v>
      </c>
      <c r="D21" s="178"/>
      <c r="E21" s="178"/>
      <c r="F21" s="178"/>
      <c r="G21" s="185"/>
      <c r="H21" s="185"/>
      <c r="I21" s="178"/>
      <c r="J21" s="178"/>
      <c r="K21" s="178"/>
      <c r="L21" s="178"/>
      <c r="M21" s="189"/>
      <c r="N21" s="189"/>
      <c r="O21" s="189"/>
      <c r="P21" s="189"/>
      <c r="Q21" s="185"/>
      <c r="R21" s="185"/>
      <c r="S21" s="192"/>
      <c r="T21" s="192"/>
      <c r="U21" s="200"/>
      <c r="V21" s="200"/>
      <c r="W21" s="194"/>
      <c r="X21" s="194"/>
      <c r="Y21" s="194"/>
    </row>
    <row r="22" spans="2:27" ht="14.25" x14ac:dyDescent="0.2">
      <c r="B22" s="165"/>
      <c r="C22" s="199" t="s">
        <v>217</v>
      </c>
      <c r="D22" s="178"/>
      <c r="E22" s="178"/>
      <c r="F22" s="178"/>
      <c r="G22" s="185"/>
      <c r="H22" s="185"/>
      <c r="I22" s="178"/>
      <c r="J22" s="178"/>
      <c r="K22" s="178"/>
      <c r="L22" s="178"/>
      <c r="M22" s="189"/>
      <c r="N22" s="189"/>
      <c r="O22" s="189"/>
      <c r="P22" s="189"/>
      <c r="Q22" s="185"/>
      <c r="R22" s="185"/>
      <c r="S22" s="192"/>
      <c r="T22" s="192"/>
      <c r="U22" s="200"/>
      <c r="V22" s="200"/>
      <c r="W22" s="194"/>
      <c r="X22" s="194"/>
      <c r="Y22" s="194"/>
    </row>
    <row r="23" spans="2:27" x14ac:dyDescent="0.2">
      <c r="B23" s="165"/>
      <c r="C23" s="199" t="s">
        <v>80</v>
      </c>
      <c r="D23" s="178">
        <v>376290</v>
      </c>
      <c r="E23" s="178">
        <v>378116</v>
      </c>
      <c r="F23" s="178">
        <v>36964</v>
      </c>
      <c r="G23" s="192">
        <v>416.2</v>
      </c>
      <c r="H23" s="192">
        <v>397.3</v>
      </c>
      <c r="I23" s="201"/>
      <c r="J23" s="201"/>
      <c r="K23" s="201"/>
      <c r="L23" s="201"/>
      <c r="M23" s="192">
        <v>444.4</v>
      </c>
      <c r="N23" s="192">
        <f>468671/1000</f>
        <v>468.67099999999999</v>
      </c>
      <c r="O23" s="192">
        <f>466639/1000</f>
        <v>466.63900000000001</v>
      </c>
      <c r="P23" s="192">
        <f>440183.49/1000</f>
        <v>440.18349000000001</v>
      </c>
      <c r="Q23" s="192">
        <f>440680/1000</f>
        <v>440.68</v>
      </c>
      <c r="R23" s="192">
        <f>449546/1000</f>
        <v>449.54599999999999</v>
      </c>
      <c r="S23" s="192">
        <f>501627/1000</f>
        <v>501.62700000000001</v>
      </c>
      <c r="T23" s="192">
        <f>532415/1000</f>
        <v>532.41499999999996</v>
      </c>
      <c r="U23" s="200">
        <f>606746/1000</f>
        <v>606.74599999999998</v>
      </c>
      <c r="V23" s="202">
        <f>609509/1000</f>
        <v>609.50900000000001</v>
      </c>
      <c r="W23" s="203">
        <v>625.85</v>
      </c>
      <c r="X23" s="203"/>
      <c r="Y23" s="203"/>
    </row>
    <row r="24" spans="2:27" ht="14.25" x14ac:dyDescent="0.2">
      <c r="B24" s="165"/>
      <c r="C24" s="199" t="s">
        <v>114</v>
      </c>
      <c r="D24" s="178">
        <v>816552</v>
      </c>
      <c r="E24" s="178">
        <v>928409</v>
      </c>
      <c r="F24" s="178">
        <v>1013911</v>
      </c>
      <c r="G24" s="192">
        <v>756</v>
      </c>
      <c r="H24" s="192">
        <v>955</v>
      </c>
      <c r="I24" s="201"/>
      <c r="J24" s="201"/>
      <c r="K24" s="201"/>
      <c r="L24" s="201"/>
      <c r="M24" s="192">
        <f>(1849066/2)/1000</f>
        <v>924.53300000000002</v>
      </c>
      <c r="N24" s="192">
        <f>(2152734/2)/1000</f>
        <v>1076.367</v>
      </c>
      <c r="O24" s="192">
        <f>1175550/1000</f>
        <v>1175.55</v>
      </c>
      <c r="P24" s="204" t="s">
        <v>108</v>
      </c>
      <c r="Q24" s="204" t="s">
        <v>108</v>
      </c>
      <c r="R24" s="204" t="s">
        <v>108</v>
      </c>
      <c r="S24" s="205">
        <f>4217000/1000</f>
        <v>4217</v>
      </c>
      <c r="T24" s="205">
        <f>4914000/1000</f>
        <v>4914</v>
      </c>
      <c r="U24" s="205">
        <f>5129000/1000</f>
        <v>5129</v>
      </c>
      <c r="V24" s="192">
        <v>5567</v>
      </c>
      <c r="W24" s="192">
        <v>6176</v>
      </c>
      <c r="X24" s="192"/>
      <c r="Y24" s="192"/>
    </row>
    <row r="25" spans="2:27" ht="15" x14ac:dyDescent="0.25">
      <c r="B25" s="165"/>
      <c r="C25" s="199" t="s">
        <v>82</v>
      </c>
      <c r="D25" s="178"/>
      <c r="E25" s="178"/>
      <c r="F25" s="178"/>
      <c r="G25" s="192">
        <v>110.2</v>
      </c>
      <c r="H25" s="192">
        <v>1550.6</v>
      </c>
      <c r="I25" s="201"/>
      <c r="J25" s="201"/>
      <c r="K25" s="201"/>
      <c r="L25" s="201"/>
      <c r="M25" s="192">
        <f>1545711/1000</f>
        <v>1545.711</v>
      </c>
      <c r="N25" s="192">
        <f>1482464/1000</f>
        <v>1482.4639999999999</v>
      </c>
      <c r="O25" s="192">
        <f>1333073/1000</f>
        <v>1333.0730000000001</v>
      </c>
      <c r="P25" s="192">
        <f>1583379/1000</f>
        <v>1583.3789999999999</v>
      </c>
      <c r="Q25" s="204" t="s">
        <v>108</v>
      </c>
      <c r="R25" s="204" t="s">
        <v>108</v>
      </c>
      <c r="S25" s="192">
        <f>1322639/1000</f>
        <v>1322.6389999999999</v>
      </c>
      <c r="T25" s="204" t="s">
        <v>108</v>
      </c>
      <c r="U25" s="206">
        <f>1691012/1000</f>
        <v>1691.0119999999999</v>
      </c>
      <c r="V25" s="206">
        <f>1798606/1000</f>
        <v>1798.606</v>
      </c>
      <c r="W25" s="194">
        <v>1715.912</v>
      </c>
      <c r="X25" s="207">
        <v>1515.3</v>
      </c>
      <c r="Y25" s="207"/>
    </row>
    <row r="26" spans="2:27" x14ac:dyDescent="0.2">
      <c r="B26" s="165"/>
      <c r="C26" s="199" t="s">
        <v>95</v>
      </c>
      <c r="D26" s="178">
        <v>237844.23</v>
      </c>
      <c r="E26" s="178">
        <v>234246.15</v>
      </c>
      <c r="F26" s="178">
        <v>224759.98</v>
      </c>
      <c r="G26" s="192">
        <v>246.3</v>
      </c>
      <c r="H26" s="192">
        <v>290.2</v>
      </c>
      <c r="I26" s="201"/>
      <c r="J26" s="201"/>
      <c r="K26" s="201"/>
      <c r="L26" s="201"/>
      <c r="M26" s="192">
        <v>299.7</v>
      </c>
      <c r="N26" s="192">
        <f>405013/1000</f>
        <v>405.01299999999998</v>
      </c>
      <c r="O26" s="192">
        <f>432763/1000</f>
        <v>432.76299999999998</v>
      </c>
      <c r="P26" s="192">
        <f>455287/1000</f>
        <v>455.28699999999998</v>
      </c>
      <c r="Q26" s="192">
        <f>637038.11/1000</f>
        <v>637.03810999999996</v>
      </c>
      <c r="R26" s="192">
        <f>1033167.75/1000</f>
        <v>1033.1677500000001</v>
      </c>
      <c r="S26" s="192">
        <f>1007903/1000</f>
        <v>1007.903</v>
      </c>
      <c r="T26" s="192">
        <f>1183174/1000</f>
        <v>1183.174</v>
      </c>
      <c r="U26" s="206">
        <f>1524591/1000</f>
        <v>1524.5909999999999</v>
      </c>
      <c r="V26" s="206">
        <f>1381409/1000</f>
        <v>1381.4090000000001</v>
      </c>
      <c r="W26" s="194">
        <v>686.68237999999997</v>
      </c>
      <c r="X26" s="194"/>
      <c r="Y26" s="194"/>
      <c r="Z26" s="127"/>
      <c r="AA26" s="127"/>
    </row>
    <row r="27" spans="2:27" x14ac:dyDescent="0.2">
      <c r="B27" s="165"/>
      <c r="C27" s="208"/>
      <c r="D27" s="209"/>
      <c r="E27" s="210"/>
      <c r="F27" s="210"/>
      <c r="G27" s="211"/>
      <c r="H27" s="212"/>
      <c r="I27" s="211"/>
      <c r="J27" s="211"/>
      <c r="K27" s="211"/>
      <c r="L27" s="211"/>
      <c r="M27" s="212"/>
      <c r="N27" s="212"/>
      <c r="O27" s="212"/>
      <c r="P27" s="211"/>
      <c r="Q27" s="208"/>
      <c r="R27" s="208"/>
      <c r="S27" s="208"/>
      <c r="T27" s="201"/>
      <c r="U27" s="213"/>
      <c r="V27" s="165"/>
      <c r="W27" s="194"/>
      <c r="X27" s="194"/>
      <c r="Y27" s="194"/>
    </row>
    <row r="28" spans="2:27" x14ac:dyDescent="0.2">
      <c r="B28" s="165"/>
      <c r="C28" s="181" t="s">
        <v>2</v>
      </c>
      <c r="D28" s="182">
        <f t="shared" ref="D28:L28" si="3">D29+D30</f>
        <v>6779211</v>
      </c>
      <c r="E28" s="182">
        <f t="shared" si="3"/>
        <v>6772238</v>
      </c>
      <c r="F28" s="182">
        <f t="shared" si="3"/>
        <v>6552612</v>
      </c>
      <c r="G28" s="214">
        <f>G29+G30</f>
        <v>6632.9840000000004</v>
      </c>
      <c r="H28" s="214">
        <f t="shared" si="3"/>
        <v>10038.087</v>
      </c>
      <c r="I28" s="214" t="e">
        <f t="shared" si="3"/>
        <v>#REF!</v>
      </c>
      <c r="J28" s="214" t="e">
        <f t="shared" si="3"/>
        <v>#REF!</v>
      </c>
      <c r="K28" s="214" t="e">
        <f t="shared" si="3"/>
        <v>#REF!</v>
      </c>
      <c r="L28" s="214">
        <f t="shared" si="3"/>
        <v>0</v>
      </c>
      <c r="M28" s="214">
        <f>M29+M30</f>
        <v>9930.4749999999985</v>
      </c>
      <c r="N28" s="214">
        <f>N29+N30</f>
        <v>11255.095079999999</v>
      </c>
      <c r="O28" s="214">
        <f>O29+S2619</f>
        <v>9776.3389999999999</v>
      </c>
      <c r="P28" s="214">
        <f>P30</f>
        <v>1614.73794</v>
      </c>
      <c r="Q28" s="214">
        <f>(Q29)</f>
        <v>10749.148999999999</v>
      </c>
      <c r="R28" s="214">
        <f>(R29)</f>
        <v>17998.346000000001</v>
      </c>
      <c r="S28" s="214">
        <f t="shared" ref="S28:X28" si="4">SUM(S29:S30)</f>
        <v>22207.853999999999</v>
      </c>
      <c r="T28" s="214">
        <f t="shared" si="4"/>
        <v>23954.764999999999</v>
      </c>
      <c r="U28" s="214">
        <f t="shared" si="4"/>
        <v>25185.317999999999</v>
      </c>
      <c r="V28" s="215">
        <f t="shared" si="4"/>
        <v>24486.563000000002</v>
      </c>
      <c r="W28" s="186">
        <f t="shared" si="4"/>
        <v>24213.053460000003</v>
      </c>
      <c r="X28" s="186">
        <f t="shared" si="4"/>
        <v>0</v>
      </c>
      <c r="Y28" s="186"/>
    </row>
    <row r="29" spans="2:27" ht="14.25" x14ac:dyDescent="0.2">
      <c r="B29" s="165"/>
      <c r="C29" s="188" t="s">
        <v>4</v>
      </c>
      <c r="D29" s="178">
        <f>3284244+2581772</f>
        <v>5866016</v>
      </c>
      <c r="E29" s="178">
        <f>3609120+2223826</f>
        <v>5832946</v>
      </c>
      <c r="F29" s="178">
        <f>3340604+1944306</f>
        <v>5284910</v>
      </c>
      <c r="G29" s="201">
        <f>(3476028+2006737)/1000</f>
        <v>5482.7650000000003</v>
      </c>
      <c r="H29" s="192">
        <f>(4699089+4001625)/1000</f>
        <v>8700.7139999999999</v>
      </c>
      <c r="I29" s="201" t="e">
        <f>SUM(#REF!)</f>
        <v>#REF!</v>
      </c>
      <c r="J29" s="201" t="e">
        <f>SUM(#REF!)</f>
        <v>#REF!</v>
      </c>
      <c r="K29" s="201" t="e">
        <f>SUM(#REF!)</f>
        <v>#REF!</v>
      </c>
      <c r="L29" s="201"/>
      <c r="M29" s="192">
        <f>(4798054+4082781)/1000</f>
        <v>8880.8349999999991</v>
      </c>
      <c r="N29" s="192">
        <f>(5501338+4543930)/1000</f>
        <v>10045.268</v>
      </c>
      <c r="O29" s="192">
        <f>9776339/1000</f>
        <v>9776.3389999999999</v>
      </c>
      <c r="P29" s="185" t="s">
        <v>112</v>
      </c>
      <c r="Q29" s="192">
        <f>10749149/1000</f>
        <v>10749.148999999999</v>
      </c>
      <c r="R29" s="192">
        <f>17998346/1000</f>
        <v>17998.346000000001</v>
      </c>
      <c r="S29" s="192">
        <f>18583448/1000</f>
        <v>18583.448</v>
      </c>
      <c r="T29" s="216">
        <f>20310889/1000</f>
        <v>20310.888999999999</v>
      </c>
      <c r="U29" s="217">
        <v>21606.3</v>
      </c>
      <c r="V29" s="194">
        <v>20820.2</v>
      </c>
      <c r="W29" s="194">
        <v>19431.400000000001</v>
      </c>
      <c r="X29" s="194"/>
      <c r="Y29" s="194"/>
    </row>
    <row r="30" spans="2:27" ht="14.25" x14ac:dyDescent="0.2">
      <c r="B30" s="165"/>
      <c r="C30" s="188" t="s">
        <v>5</v>
      </c>
      <c r="D30" s="178">
        <f t="shared" ref="D30:L30" si="5">SUM(D31:D35)</f>
        <v>913195</v>
      </c>
      <c r="E30" s="178">
        <f t="shared" si="5"/>
        <v>939292</v>
      </c>
      <c r="F30" s="178">
        <f t="shared" si="5"/>
        <v>1267702</v>
      </c>
      <c r="G30" s="201">
        <f>SUM(G31:G35)</f>
        <v>1150.2190000000001</v>
      </c>
      <c r="H30" s="192">
        <f t="shared" si="5"/>
        <v>1337.373</v>
      </c>
      <c r="I30" s="201">
        <f t="shared" si="5"/>
        <v>0</v>
      </c>
      <c r="J30" s="201">
        <f t="shared" si="5"/>
        <v>0</v>
      </c>
      <c r="K30" s="201">
        <f t="shared" si="5"/>
        <v>0</v>
      </c>
      <c r="L30" s="201">
        <f t="shared" si="5"/>
        <v>0</v>
      </c>
      <c r="M30" s="201">
        <f>SUM(M31:M35)</f>
        <v>1049.6399999999999</v>
      </c>
      <c r="N30" s="192">
        <f>SUM(N31:N35)</f>
        <v>1209.82708</v>
      </c>
      <c r="O30" s="201">
        <f>SUM(O31:O35)</f>
        <v>1537.0638700000002</v>
      </c>
      <c r="P30" s="192">
        <f>SUM(P31:P35)</f>
        <v>1614.73794</v>
      </c>
      <c r="Q30" s="185" t="s">
        <v>112</v>
      </c>
      <c r="R30" s="185" t="s">
        <v>112</v>
      </c>
      <c r="S30" s="218">
        <f t="shared" ref="S30:X30" si="6">SUM(S31:S35)</f>
        <v>3624.4060000000004</v>
      </c>
      <c r="T30" s="218">
        <f t="shared" si="6"/>
        <v>3643.8759999999997</v>
      </c>
      <c r="U30" s="219">
        <f t="shared" si="6"/>
        <v>3579.018</v>
      </c>
      <c r="V30" s="220">
        <f t="shared" si="6"/>
        <v>3666.3629999999998</v>
      </c>
      <c r="W30" s="186">
        <f t="shared" si="6"/>
        <v>4781.6534599999995</v>
      </c>
      <c r="X30" s="186">
        <f t="shared" si="6"/>
        <v>0</v>
      </c>
      <c r="Y30" s="186"/>
    </row>
    <row r="31" spans="2:27" ht="14.25" x14ac:dyDescent="0.2">
      <c r="B31" s="165"/>
      <c r="C31" s="199" t="s">
        <v>81</v>
      </c>
      <c r="D31" s="178">
        <v>494195</v>
      </c>
      <c r="E31" s="178">
        <v>520141</v>
      </c>
      <c r="F31" s="178">
        <v>577435</v>
      </c>
      <c r="G31" s="192">
        <f>583219/1000</f>
        <v>583.21900000000005</v>
      </c>
      <c r="H31" s="192">
        <f>535173/1000</f>
        <v>535.173</v>
      </c>
      <c r="I31" s="221"/>
      <c r="J31" s="221"/>
      <c r="K31" s="221"/>
      <c r="L31" s="201"/>
      <c r="M31" s="185" t="s">
        <v>143</v>
      </c>
      <c r="N31" s="185" t="s">
        <v>143</v>
      </c>
      <c r="O31" s="185" t="s">
        <v>143</v>
      </c>
      <c r="P31" s="185" t="s">
        <v>143</v>
      </c>
      <c r="Q31" s="185" t="s">
        <v>112</v>
      </c>
      <c r="R31" s="185" t="s">
        <v>112</v>
      </c>
      <c r="S31" s="222">
        <f>1175314/1000</f>
        <v>1175.3140000000001</v>
      </c>
      <c r="T31" s="222">
        <f>954520/1000</f>
        <v>954.52</v>
      </c>
      <c r="U31" s="223">
        <f>529335/1000</f>
        <v>529.33500000000004</v>
      </c>
      <c r="V31" s="224">
        <f>615617/1000</f>
        <v>615.61699999999996</v>
      </c>
      <c r="W31" s="194">
        <v>866.9</v>
      </c>
      <c r="X31" s="194">
        <v>0</v>
      </c>
      <c r="Y31" s="194"/>
    </row>
    <row r="32" spans="2:27" ht="14.25" x14ac:dyDescent="0.2">
      <c r="B32" s="165"/>
      <c r="C32" s="199" t="s">
        <v>94</v>
      </c>
      <c r="D32" s="178">
        <v>419000</v>
      </c>
      <c r="E32" s="178">
        <v>419151</v>
      </c>
      <c r="F32" s="178">
        <v>554920</v>
      </c>
      <c r="G32" s="192">
        <f>(675000*0.84)/1000</f>
        <v>567</v>
      </c>
      <c r="H32" s="192">
        <f>(955000*0.84)/1000</f>
        <v>802.2</v>
      </c>
      <c r="I32" s="221"/>
      <c r="J32" s="221"/>
      <c r="K32" s="221"/>
      <c r="L32" s="201"/>
      <c r="M32" s="192">
        <f>(1013000*0.84)/1000</f>
        <v>850.92</v>
      </c>
      <c r="N32" s="192">
        <f>(1177662*0.84)/1000</f>
        <v>989.2360799999999</v>
      </c>
      <c r="O32" s="201">
        <f>1308893.87/1000</f>
        <v>1308.8938700000001</v>
      </c>
      <c r="P32" s="192">
        <f>1384813.03/1000</f>
        <v>1384.81303</v>
      </c>
      <c r="Q32" s="185" t="s">
        <v>112</v>
      </c>
      <c r="R32" s="192">
        <f>2280540/1000</f>
        <v>2280.54</v>
      </c>
      <c r="S32" s="222">
        <f>2136308/1000</f>
        <v>2136.308</v>
      </c>
      <c r="T32" s="222">
        <f>2456037/1000</f>
        <v>2456.0369999999998</v>
      </c>
      <c r="U32" s="225">
        <f>2834420/1000</f>
        <v>2834.42</v>
      </c>
      <c r="V32" s="226">
        <f>2817427/1000</f>
        <v>2817.4270000000001</v>
      </c>
      <c r="W32" s="194">
        <v>2872.5669199999998</v>
      </c>
      <c r="X32" s="194">
        <v>0</v>
      </c>
      <c r="Y32" s="194"/>
    </row>
    <row r="33" spans="2:25" ht="14.25" x14ac:dyDescent="0.2">
      <c r="B33" s="165"/>
      <c r="C33" s="199" t="s">
        <v>79</v>
      </c>
      <c r="D33" s="227" t="s">
        <v>78</v>
      </c>
      <c r="E33" s="227" t="s">
        <v>78</v>
      </c>
      <c r="F33" s="178">
        <v>135347</v>
      </c>
      <c r="G33" s="204"/>
      <c r="H33" s="221" t="s">
        <v>78</v>
      </c>
      <c r="I33" s="221"/>
      <c r="J33" s="221"/>
      <c r="K33" s="221"/>
      <c r="L33" s="201"/>
      <c r="M33" s="192">
        <f>198720/1000</f>
        <v>198.72</v>
      </c>
      <c r="N33" s="192">
        <f>(220591)/1000</f>
        <v>220.59100000000001</v>
      </c>
      <c r="O33" s="192">
        <f>228170/1000</f>
        <v>228.17</v>
      </c>
      <c r="P33" s="192">
        <f>229924.91/1000</f>
        <v>229.92491000000001</v>
      </c>
      <c r="Q33" s="185" t="s">
        <v>112</v>
      </c>
      <c r="R33" s="185" t="s">
        <v>112</v>
      </c>
      <c r="S33" s="222">
        <f>312784/1000</f>
        <v>312.78399999999999</v>
      </c>
      <c r="T33" s="222">
        <f>233319/1000</f>
        <v>233.31899999999999</v>
      </c>
      <c r="U33" s="225">
        <f>215263/1000</f>
        <v>215.26300000000001</v>
      </c>
      <c r="V33" s="226">
        <f>T33</f>
        <v>233.31899999999999</v>
      </c>
      <c r="W33" s="194">
        <v>285.65249</v>
      </c>
      <c r="X33" s="194">
        <v>0</v>
      </c>
      <c r="Y33" s="194"/>
    </row>
    <row r="34" spans="2:25" ht="12.75" customHeight="1" x14ac:dyDescent="0.2">
      <c r="B34" s="165"/>
      <c r="C34" s="228" t="s">
        <v>95</v>
      </c>
      <c r="D34" s="227"/>
      <c r="E34" s="178"/>
      <c r="F34" s="178"/>
      <c r="G34" s="192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204" t="s">
        <v>108</v>
      </c>
      <c r="T34" s="204" t="s">
        <v>108</v>
      </c>
      <c r="U34" s="204" t="s">
        <v>108</v>
      </c>
      <c r="V34" s="204" t="s">
        <v>108</v>
      </c>
      <c r="W34" s="194">
        <v>756.53405000000009</v>
      </c>
      <c r="X34" s="194">
        <v>0</v>
      </c>
      <c r="Y34" s="194"/>
    </row>
    <row r="35" spans="2:25" ht="14.25" x14ac:dyDescent="0.2">
      <c r="B35" s="165"/>
      <c r="C35" s="199" t="s">
        <v>218</v>
      </c>
      <c r="D35" s="227"/>
      <c r="E35" s="227"/>
      <c r="F35" s="178"/>
      <c r="G35" s="192"/>
      <c r="H35" s="192"/>
      <c r="I35" s="201"/>
      <c r="J35" s="201"/>
      <c r="K35" s="201"/>
      <c r="L35" s="201"/>
      <c r="M35" s="192"/>
      <c r="N35" s="201"/>
      <c r="O35" s="192"/>
      <c r="P35" s="185"/>
      <c r="Q35" s="185"/>
      <c r="R35" s="185"/>
      <c r="S35" s="229"/>
      <c r="T35" s="229"/>
      <c r="U35" s="229"/>
      <c r="V35" s="226"/>
      <c r="W35" s="226"/>
      <c r="X35" s="226"/>
      <c r="Y35" s="226"/>
    </row>
    <row r="36" spans="2:25" x14ac:dyDescent="0.2">
      <c r="B36" s="165"/>
      <c r="C36" s="230" t="s">
        <v>217</v>
      </c>
      <c r="D36" s="177"/>
      <c r="E36" s="177"/>
      <c r="F36" s="177"/>
      <c r="G36" s="208"/>
      <c r="H36" s="231"/>
      <c r="I36" s="231"/>
      <c r="J36" s="231"/>
      <c r="K36" s="231"/>
      <c r="L36" s="211"/>
      <c r="M36" s="212"/>
      <c r="N36" s="212"/>
      <c r="O36" s="212"/>
      <c r="P36" s="211"/>
      <c r="Q36" s="208"/>
      <c r="R36" s="208"/>
      <c r="S36" s="232"/>
      <c r="T36" s="222"/>
      <c r="U36" s="233"/>
      <c r="V36" s="226"/>
      <c r="W36" s="226"/>
      <c r="X36" s="226"/>
      <c r="Y36" s="226"/>
    </row>
    <row r="37" spans="2:25" x14ac:dyDescent="0.2">
      <c r="B37" s="165"/>
      <c r="C37" s="230" t="s">
        <v>216</v>
      </c>
      <c r="D37" s="177"/>
      <c r="E37" s="177"/>
      <c r="F37" s="177"/>
      <c r="G37" s="208"/>
      <c r="H37" s="231"/>
      <c r="I37" s="231"/>
      <c r="J37" s="231"/>
      <c r="K37" s="231"/>
      <c r="L37" s="211"/>
      <c r="M37" s="212"/>
      <c r="N37" s="212"/>
      <c r="O37" s="212"/>
      <c r="P37" s="211"/>
      <c r="Q37" s="208"/>
      <c r="R37" s="208"/>
      <c r="S37" s="232"/>
      <c r="T37" s="222"/>
      <c r="U37" s="233"/>
      <c r="V37" s="226"/>
      <c r="W37" s="226"/>
      <c r="X37" s="226"/>
      <c r="Y37" s="226"/>
    </row>
    <row r="38" spans="2:25" x14ac:dyDescent="0.2">
      <c r="B38" s="165"/>
      <c r="C38" s="279"/>
      <c r="D38" s="210"/>
      <c r="E38" s="210"/>
      <c r="F38" s="210"/>
      <c r="G38" s="211"/>
      <c r="H38" s="211"/>
      <c r="I38" s="211"/>
      <c r="J38" s="211"/>
      <c r="K38" s="211"/>
      <c r="L38" s="211"/>
      <c r="M38" s="212"/>
      <c r="N38" s="212"/>
      <c r="O38" s="212"/>
      <c r="P38" s="211"/>
      <c r="Q38" s="208"/>
      <c r="R38" s="208"/>
      <c r="S38" s="232"/>
      <c r="T38" s="222"/>
      <c r="U38" s="233"/>
      <c r="V38" s="226"/>
      <c r="W38" s="226"/>
      <c r="X38" s="226"/>
      <c r="Y38" s="226"/>
    </row>
    <row r="39" spans="2:25" x14ac:dyDescent="0.2">
      <c r="B39" s="165"/>
      <c r="C39" s="181" t="s">
        <v>14</v>
      </c>
      <c r="D39" s="182">
        <f>487117+98117+334736</f>
        <v>919970</v>
      </c>
      <c r="E39" s="182">
        <f>480134+160570+254455</f>
        <v>895159</v>
      </c>
      <c r="F39" s="182">
        <f>467085+89806+296847</f>
        <v>853738</v>
      </c>
      <c r="G39" s="214">
        <f>(488495+89476+327693)/1000</f>
        <v>905.66399999999999</v>
      </c>
      <c r="H39" s="214">
        <f>(723036+178356+582522)/1000</f>
        <v>1483.914</v>
      </c>
      <c r="I39" s="234"/>
      <c r="J39" s="234"/>
      <c r="K39" s="234"/>
      <c r="L39" s="234"/>
      <c r="M39" s="214">
        <f>(758325+238346+542525)/1000</f>
        <v>1539.1959999999999</v>
      </c>
      <c r="N39" s="214">
        <f>(1034993+273114+477626)/1000</f>
        <v>1785.7329999999999</v>
      </c>
      <c r="O39" s="214">
        <f>1757868/1000</f>
        <v>1757.8679999999999</v>
      </c>
      <c r="P39" s="235" t="s">
        <v>140</v>
      </c>
      <c r="Q39" s="236">
        <f>2010639/1000</f>
        <v>2010.6389999999999</v>
      </c>
      <c r="R39" s="236">
        <f>2801112/1000</f>
        <v>2801.1120000000001</v>
      </c>
      <c r="S39" s="237">
        <f>3167438/1000</f>
        <v>3167.4380000000001</v>
      </c>
      <c r="T39" s="219">
        <f>3783841/1000</f>
        <v>3783.8409999999999</v>
      </c>
      <c r="U39" s="238">
        <v>4427.8999999999996</v>
      </c>
      <c r="V39" s="239">
        <v>4698.2</v>
      </c>
      <c r="W39" s="239">
        <v>3790.8</v>
      </c>
      <c r="X39" s="239"/>
      <c r="Y39" s="239"/>
    </row>
    <row r="40" spans="2:25" ht="12" customHeight="1" x14ac:dyDescent="0.2">
      <c r="B40" s="165"/>
      <c r="C40" s="177"/>
      <c r="D40" s="210"/>
      <c r="E40" s="210"/>
      <c r="F40" s="210"/>
      <c r="G40" s="211"/>
      <c r="H40" s="211"/>
      <c r="I40" s="211"/>
      <c r="J40" s="211"/>
      <c r="K40" s="211"/>
      <c r="L40" s="211"/>
      <c r="M40" s="212"/>
      <c r="N40" s="212"/>
      <c r="O40" s="212"/>
      <c r="P40" s="221"/>
      <c r="Q40" s="208"/>
      <c r="R40" s="208"/>
      <c r="S40" s="232"/>
      <c r="T40" s="240"/>
      <c r="U40" s="233"/>
      <c r="V40" s="226"/>
      <c r="W40" s="226"/>
      <c r="X40" s="226"/>
      <c r="Y40" s="226"/>
    </row>
    <row r="41" spans="2:25" x14ac:dyDescent="0.2">
      <c r="B41" s="165"/>
      <c r="C41" s="181" t="s">
        <v>117</v>
      </c>
      <c r="D41" s="182">
        <f t="shared" ref="D41:M41" si="7">SUM(D42:D44)</f>
        <v>2050017</v>
      </c>
      <c r="E41" s="182">
        <f t="shared" si="7"/>
        <v>2163591</v>
      </c>
      <c r="F41" s="182">
        <f t="shared" si="7"/>
        <v>2155711</v>
      </c>
      <c r="G41" s="214">
        <f>SUM(G42:G44)</f>
        <v>2197.6390000000001</v>
      </c>
      <c r="H41" s="214">
        <f t="shared" si="7"/>
        <v>2305.4160000000002</v>
      </c>
      <c r="I41" s="214">
        <f t="shared" si="7"/>
        <v>0</v>
      </c>
      <c r="J41" s="214">
        <f t="shared" si="7"/>
        <v>0</v>
      </c>
      <c r="K41" s="214">
        <f t="shared" si="7"/>
        <v>0</v>
      </c>
      <c r="L41" s="214">
        <f t="shared" si="7"/>
        <v>0</v>
      </c>
      <c r="M41" s="214">
        <f t="shared" si="7"/>
        <v>2499.8020000000001</v>
      </c>
      <c r="N41" s="214">
        <f t="shared" ref="N41:S41" si="8">SUM(N42:N44)</f>
        <v>2626.94</v>
      </c>
      <c r="O41" s="214">
        <f t="shared" si="8"/>
        <v>3056.0119999999997</v>
      </c>
      <c r="P41" s="214">
        <f t="shared" si="8"/>
        <v>1621.3820000000001</v>
      </c>
      <c r="Q41" s="214">
        <f t="shared" si="8"/>
        <v>809.18100000000004</v>
      </c>
      <c r="R41" s="214">
        <f t="shared" si="8"/>
        <v>393.51799999999997</v>
      </c>
      <c r="S41" s="241">
        <f t="shared" si="8"/>
        <v>543.15300000000002</v>
      </c>
      <c r="T41" s="241">
        <f>SUM(T42:T44)</f>
        <v>461.00799999999998</v>
      </c>
      <c r="U41" s="219">
        <f>SUM(U42:U44)</f>
        <v>761.30499999999995</v>
      </c>
      <c r="V41" s="219">
        <f>SUM(V42:V44)</f>
        <v>813.93100000000004</v>
      </c>
      <c r="W41" s="219">
        <f>SUM(W42:W44)</f>
        <v>983.55700000000002</v>
      </c>
      <c r="X41" s="219">
        <f>SUM(X42:X44)</f>
        <v>1012.3</v>
      </c>
      <c r="Y41" s="219"/>
    </row>
    <row r="42" spans="2:25" ht="14.25" outlineLevel="1" x14ac:dyDescent="0.2">
      <c r="B42" s="165"/>
      <c r="C42" s="199" t="s">
        <v>153</v>
      </c>
      <c r="D42" s="178">
        <v>1322306</v>
      </c>
      <c r="E42" s="178">
        <v>1388290</v>
      </c>
      <c r="F42" s="178">
        <v>1698251</v>
      </c>
      <c r="G42" s="242">
        <f>1781583/1000</f>
        <v>1781.5830000000001</v>
      </c>
      <c r="H42" s="192">
        <f>1806384/1000</f>
        <v>1806.384</v>
      </c>
      <c r="I42" s="208"/>
      <c r="J42" s="208"/>
      <c r="K42" s="208"/>
      <c r="L42" s="208"/>
      <c r="M42" s="192">
        <f>1993554/1000</f>
        <v>1993.5540000000001</v>
      </c>
      <c r="N42" s="192">
        <f>2000000/1000</f>
        <v>2000</v>
      </c>
      <c r="O42" s="192">
        <f>2234357/1000</f>
        <v>2234.357</v>
      </c>
      <c r="P42" s="185" t="s">
        <v>112</v>
      </c>
      <c r="Q42" s="185" t="s">
        <v>143</v>
      </c>
      <c r="R42" s="185" t="s">
        <v>143</v>
      </c>
      <c r="S42" s="229" t="s">
        <v>143</v>
      </c>
      <c r="T42" s="229" t="s">
        <v>143</v>
      </c>
      <c r="U42" s="243" t="s">
        <v>143</v>
      </c>
      <c r="V42" s="243" t="s">
        <v>143</v>
      </c>
      <c r="W42" s="243" t="s">
        <v>143</v>
      </c>
      <c r="X42" s="243" t="s">
        <v>143</v>
      </c>
      <c r="Y42" s="243"/>
    </row>
    <row r="43" spans="2:25" outlineLevel="1" x14ac:dyDescent="0.2">
      <c r="B43" s="165"/>
      <c r="C43" s="199" t="s">
        <v>83</v>
      </c>
      <c r="D43" s="178">
        <v>400451</v>
      </c>
      <c r="E43" s="178">
        <v>437768</v>
      </c>
      <c r="F43" s="178">
        <v>457460</v>
      </c>
      <c r="G43" s="242">
        <f>416056/1000</f>
        <v>416.05599999999998</v>
      </c>
      <c r="H43" s="192">
        <f>499032/1000</f>
        <v>499.03199999999998</v>
      </c>
      <c r="I43" s="234"/>
      <c r="J43" s="234"/>
      <c r="K43" s="234"/>
      <c r="L43" s="234"/>
      <c r="M43" s="192">
        <f>506248/1000</f>
        <v>506.24799999999999</v>
      </c>
      <c r="N43" s="192">
        <f>626940/1000</f>
        <v>626.94000000000005</v>
      </c>
      <c r="O43" s="192">
        <f>821655/1000</f>
        <v>821.65499999999997</v>
      </c>
      <c r="P43" s="192">
        <f>909106/1000</f>
        <v>909.10599999999999</v>
      </c>
      <c r="Q43" s="192">
        <f>809181/1000</f>
        <v>809.18100000000004</v>
      </c>
      <c r="R43" s="192">
        <f>393518/1000</f>
        <v>393.51799999999997</v>
      </c>
      <c r="S43" s="222">
        <f>543153/1000</f>
        <v>543.15300000000002</v>
      </c>
      <c r="T43" s="222">
        <f>461008/1000</f>
        <v>461.00799999999998</v>
      </c>
      <c r="U43" s="225">
        <f>761305/1000</f>
        <v>761.30499999999995</v>
      </c>
      <c r="V43" s="226">
        <f>813931/1000</f>
        <v>813.93100000000004</v>
      </c>
      <c r="W43" s="244">
        <v>983.55700000000002</v>
      </c>
      <c r="X43" s="244">
        <v>1012.3</v>
      </c>
      <c r="Y43" s="244"/>
    </row>
    <row r="44" spans="2:25" ht="14.25" outlineLevel="1" x14ac:dyDescent="0.2">
      <c r="B44" s="165"/>
      <c r="C44" s="199" t="s">
        <v>84</v>
      </c>
      <c r="D44" s="178">
        <v>327260</v>
      </c>
      <c r="E44" s="178">
        <v>337533</v>
      </c>
      <c r="F44" s="227" t="s">
        <v>78</v>
      </c>
      <c r="G44" s="185" t="s">
        <v>110</v>
      </c>
      <c r="H44" s="185" t="s">
        <v>110</v>
      </c>
      <c r="I44" s="185" t="s">
        <v>110</v>
      </c>
      <c r="J44" s="185" t="s">
        <v>110</v>
      </c>
      <c r="K44" s="185" t="s">
        <v>110</v>
      </c>
      <c r="L44" s="185" t="s">
        <v>110</v>
      </c>
      <c r="M44" s="185" t="s">
        <v>110</v>
      </c>
      <c r="N44" s="185" t="s">
        <v>110</v>
      </c>
      <c r="O44" s="185" t="s">
        <v>110</v>
      </c>
      <c r="P44" s="192">
        <f>712276/1000</f>
        <v>712.27599999999995</v>
      </c>
      <c r="Q44" s="185" t="s">
        <v>143</v>
      </c>
      <c r="R44" s="185" t="s">
        <v>143</v>
      </c>
      <c r="S44" s="229" t="s">
        <v>143</v>
      </c>
      <c r="T44" s="229" t="s">
        <v>143</v>
      </c>
      <c r="U44" s="243" t="s">
        <v>143</v>
      </c>
      <c r="V44" s="243" t="s">
        <v>143</v>
      </c>
      <c r="W44" s="243" t="s">
        <v>143</v>
      </c>
      <c r="X44" s="243" t="s">
        <v>143</v>
      </c>
      <c r="Y44" s="243"/>
    </row>
    <row r="45" spans="2:25" ht="14.25" x14ac:dyDescent="0.2">
      <c r="B45" s="165"/>
      <c r="C45" s="245"/>
      <c r="D45" s="246"/>
      <c r="E45" s="246"/>
      <c r="F45" s="246"/>
      <c r="G45" s="247"/>
      <c r="H45" s="247"/>
      <c r="I45" s="246"/>
      <c r="J45" s="246"/>
      <c r="K45" s="246"/>
      <c r="L45" s="246"/>
      <c r="M45" s="247"/>
      <c r="N45" s="247"/>
      <c r="O45" s="247"/>
      <c r="P45" s="248"/>
      <c r="Q45" s="248"/>
      <c r="R45" s="248"/>
      <c r="S45" s="249"/>
      <c r="T45" s="249"/>
      <c r="U45" s="249"/>
      <c r="V45" s="249"/>
      <c r="W45" s="250"/>
      <c r="X45" s="250"/>
      <c r="Y45" s="250"/>
    </row>
    <row r="46" spans="2:25" x14ac:dyDescent="0.2">
      <c r="B46" s="165"/>
      <c r="C46" s="251"/>
      <c r="D46" s="182"/>
      <c r="E46" s="182"/>
      <c r="F46" s="182"/>
      <c r="G46" s="182"/>
      <c r="H46" s="182"/>
      <c r="I46" s="182"/>
      <c r="J46" s="182"/>
      <c r="K46" s="182"/>
      <c r="L46" s="177"/>
      <c r="M46" s="178"/>
      <c r="N46" s="178"/>
      <c r="O46" s="178"/>
      <c r="P46" s="177"/>
      <c r="Q46" s="252"/>
      <c r="R46" s="252"/>
      <c r="S46" s="253"/>
      <c r="T46" s="253"/>
      <c r="U46" s="253"/>
      <c r="V46" s="253"/>
      <c r="W46" s="253"/>
      <c r="X46" s="233"/>
      <c r="Y46" s="233"/>
    </row>
    <row r="47" spans="2:25" x14ac:dyDescent="0.2">
      <c r="B47" s="165"/>
      <c r="C47" s="251"/>
      <c r="D47" s="182"/>
      <c r="E47" s="182"/>
      <c r="F47" s="182"/>
      <c r="G47" s="182"/>
      <c r="H47" s="182"/>
      <c r="I47" s="182"/>
      <c r="J47" s="182"/>
      <c r="K47" s="182"/>
      <c r="L47" s="177"/>
      <c r="M47" s="178"/>
      <c r="N47" s="178"/>
      <c r="O47" s="178"/>
      <c r="P47" s="177"/>
      <c r="Q47" s="252"/>
      <c r="R47" s="252"/>
      <c r="S47" s="253"/>
      <c r="T47" s="253"/>
      <c r="U47" s="253"/>
      <c r="V47" s="253"/>
      <c r="W47" s="253"/>
      <c r="X47" s="233"/>
      <c r="Y47" s="233"/>
    </row>
    <row r="48" spans="2:25" ht="15.75" x14ac:dyDescent="0.25">
      <c r="B48" s="254"/>
      <c r="C48" s="255" t="s">
        <v>18</v>
      </c>
      <c r="D48" s="256"/>
      <c r="E48" s="256"/>
      <c r="F48" s="256"/>
      <c r="G48" s="256"/>
      <c r="H48" s="256"/>
      <c r="I48" s="256"/>
      <c r="J48" s="256"/>
      <c r="K48" s="256"/>
      <c r="L48" s="171"/>
      <c r="M48" s="257"/>
      <c r="N48" s="257"/>
      <c r="O48" s="257"/>
      <c r="P48" s="171"/>
      <c r="Q48" s="252"/>
      <c r="R48" s="252"/>
      <c r="S48" s="253"/>
      <c r="T48" s="253"/>
      <c r="U48" s="253"/>
      <c r="V48" s="253"/>
      <c r="W48" s="253"/>
      <c r="X48" s="233"/>
      <c r="Y48" s="233"/>
    </row>
    <row r="49" spans="2:25" ht="15.75" x14ac:dyDescent="0.25">
      <c r="B49" s="254"/>
      <c r="C49" s="255"/>
      <c r="D49" s="256"/>
      <c r="E49" s="256"/>
      <c r="F49" s="256"/>
      <c r="G49" s="256"/>
      <c r="H49" s="256"/>
      <c r="I49" s="256"/>
      <c r="J49" s="256"/>
      <c r="K49" s="256"/>
      <c r="L49" s="171"/>
      <c r="M49" s="257"/>
      <c r="N49" s="257"/>
      <c r="O49" s="257"/>
      <c r="P49" s="171"/>
      <c r="Q49" s="252"/>
      <c r="R49" s="252"/>
      <c r="S49" s="253"/>
      <c r="T49" s="253"/>
      <c r="U49" s="253"/>
      <c r="V49" s="253"/>
      <c r="W49" s="253"/>
      <c r="X49" s="233"/>
      <c r="Y49" s="233"/>
    </row>
    <row r="50" spans="2:25" ht="14.25" x14ac:dyDescent="0.2">
      <c r="B50" s="165"/>
      <c r="C50" s="258" t="s">
        <v>24</v>
      </c>
      <c r="D50" s="259">
        <f t="shared" ref="D50:K50" si="9">SUM(D52,D54)</f>
        <v>1437822</v>
      </c>
      <c r="E50" s="259">
        <f t="shared" si="9"/>
        <v>1313556.26</v>
      </c>
      <c r="F50" s="259">
        <f t="shared" si="9"/>
        <v>1304599.1599999999</v>
      </c>
      <c r="G50" s="259">
        <f t="shared" si="9"/>
        <v>1383.3630000000001</v>
      </c>
      <c r="H50" s="259">
        <f t="shared" si="9"/>
        <v>1902.6558000000002</v>
      </c>
      <c r="I50" s="259">
        <f t="shared" si="9"/>
        <v>0</v>
      </c>
      <c r="J50" s="259">
        <f t="shared" si="9"/>
        <v>0</v>
      </c>
      <c r="K50" s="259">
        <f t="shared" si="9"/>
        <v>0</v>
      </c>
      <c r="L50" s="171"/>
      <c r="M50" s="259">
        <f>SUM(M52,M54)</f>
        <v>2094.0245</v>
      </c>
      <c r="N50" s="259">
        <f>SUM(N52,N54)</f>
        <v>2209.4236500000002</v>
      </c>
      <c r="O50" s="259">
        <f>SUM(O52,O54)</f>
        <v>2196.0070000000001</v>
      </c>
      <c r="P50" s="260" t="s">
        <v>110</v>
      </c>
      <c r="Q50" s="261">
        <f>SUM(Q52,Q54)</f>
        <v>2454.0949999999998</v>
      </c>
      <c r="R50" s="262">
        <f>SUM(R52,R54)</f>
        <v>2913.221</v>
      </c>
      <c r="S50" s="263">
        <f>SUM(S52,S54)</f>
        <v>3241.6840000000002</v>
      </c>
      <c r="T50" s="263">
        <f>SUM(T52,T54)</f>
        <v>3812.4709999999995</v>
      </c>
      <c r="U50" s="263">
        <v>4501.8</v>
      </c>
      <c r="V50" s="263">
        <f>SUM(V52,V54)</f>
        <v>6841.1</v>
      </c>
      <c r="W50" s="263">
        <f>SUM(W52,W54)</f>
        <v>4436.8999999999996</v>
      </c>
      <c r="X50" s="194">
        <v>0</v>
      </c>
      <c r="Y50" s="194"/>
    </row>
    <row r="51" spans="2:25" x14ac:dyDescent="0.2">
      <c r="B51" s="165"/>
      <c r="C51" s="258"/>
      <c r="D51" s="264"/>
      <c r="E51" s="265"/>
      <c r="F51" s="257"/>
      <c r="G51" s="257"/>
      <c r="H51" s="257"/>
      <c r="I51" s="265"/>
      <c r="J51" s="265"/>
      <c r="K51" s="265"/>
      <c r="L51" s="171"/>
      <c r="M51" s="257"/>
      <c r="N51" s="257"/>
      <c r="O51" s="257"/>
      <c r="P51" s="171"/>
      <c r="Q51" s="252"/>
      <c r="R51" s="252"/>
      <c r="S51" s="253"/>
      <c r="T51" s="253"/>
      <c r="U51" s="253"/>
      <c r="V51" s="253"/>
      <c r="W51" s="233"/>
      <c r="X51" s="233"/>
      <c r="Y51" s="233"/>
    </row>
    <row r="52" spans="2:25" ht="14.25" x14ac:dyDescent="0.2">
      <c r="B52" s="165"/>
      <c r="C52" s="181" t="s">
        <v>1</v>
      </c>
      <c r="D52" s="182">
        <f>614506</f>
        <v>614506</v>
      </c>
      <c r="E52" s="182">
        <f>549854.14</f>
        <v>549854.14</v>
      </c>
      <c r="F52" s="182">
        <f>570814.84</f>
        <v>570814.84</v>
      </c>
      <c r="G52" s="184">
        <f>601648/1000</f>
        <v>601.64800000000002</v>
      </c>
      <c r="H52" s="184">
        <f>814837.68/1000</f>
        <v>814.83768000000009</v>
      </c>
      <c r="I52" s="182"/>
      <c r="J52" s="182"/>
      <c r="K52" s="182"/>
      <c r="L52" s="266"/>
      <c r="M52" s="184">
        <f>915060.65/1000</f>
        <v>915.06065000000001</v>
      </c>
      <c r="N52" s="184">
        <f>969541.2/1000</f>
        <v>969.5412</v>
      </c>
      <c r="O52" s="184">
        <f>938767/1000</f>
        <v>938.76700000000005</v>
      </c>
      <c r="P52" s="185" t="s">
        <v>110</v>
      </c>
      <c r="Q52" s="261">
        <f>1003257/1000</f>
        <v>1003.2569999999999</v>
      </c>
      <c r="R52" s="267">
        <f>1120482/1000</f>
        <v>1120.482</v>
      </c>
      <c r="S52" s="268">
        <f>1195709/1000</f>
        <v>1195.7090000000001</v>
      </c>
      <c r="T52" s="239">
        <f>1461048/1000</f>
        <v>1461.048</v>
      </c>
      <c r="U52" s="239">
        <v>1825.4</v>
      </c>
      <c r="V52" s="269">
        <v>3146.8</v>
      </c>
      <c r="W52" s="269">
        <v>1870.8</v>
      </c>
      <c r="X52" s="194">
        <v>0</v>
      </c>
      <c r="Y52" s="194"/>
    </row>
    <row r="53" spans="2:25" ht="14.25" x14ac:dyDescent="0.2">
      <c r="B53" s="165"/>
      <c r="C53" s="177"/>
      <c r="D53" s="182"/>
      <c r="E53" s="182"/>
      <c r="F53" s="182"/>
      <c r="G53" s="182"/>
      <c r="H53" s="182"/>
      <c r="I53" s="182"/>
      <c r="J53" s="182"/>
      <c r="K53" s="182"/>
      <c r="L53" s="266"/>
      <c r="M53" s="266"/>
      <c r="N53" s="266"/>
      <c r="O53" s="266"/>
      <c r="P53" s="185"/>
      <c r="Q53" s="261"/>
      <c r="R53" s="270"/>
      <c r="S53" s="271"/>
      <c r="T53" s="226"/>
      <c r="U53" s="226"/>
      <c r="V53" s="272"/>
      <c r="W53" s="272"/>
      <c r="X53" s="272"/>
      <c r="Y53" s="272"/>
    </row>
    <row r="54" spans="2:25" ht="14.25" x14ac:dyDescent="0.2">
      <c r="B54" s="165"/>
      <c r="C54" s="181" t="s">
        <v>2</v>
      </c>
      <c r="D54" s="182">
        <f>823316</f>
        <v>823316</v>
      </c>
      <c r="E54" s="182">
        <f>763702.12</f>
        <v>763702.12</v>
      </c>
      <c r="F54" s="182">
        <f>733784.32</f>
        <v>733784.32</v>
      </c>
      <c r="G54" s="184">
        <f>781715/1000</f>
        <v>781.71500000000003</v>
      </c>
      <c r="H54" s="184">
        <f>1087818.12/1000</f>
        <v>1087.8181200000001</v>
      </c>
      <c r="I54" s="184"/>
      <c r="J54" s="184"/>
      <c r="K54" s="184"/>
      <c r="L54" s="273"/>
      <c r="M54" s="184">
        <f>1178963.85/1000</f>
        <v>1178.9638500000001</v>
      </c>
      <c r="N54" s="184">
        <f>1239882.45/1000</f>
        <v>1239.8824500000001</v>
      </c>
      <c r="O54" s="184">
        <f>1257240/1000</f>
        <v>1257.24</v>
      </c>
      <c r="P54" s="185" t="s">
        <v>110</v>
      </c>
      <c r="Q54" s="261">
        <f>1450838/1000</f>
        <v>1450.838</v>
      </c>
      <c r="R54" s="267">
        <f>1792739/1000</f>
        <v>1792.739</v>
      </c>
      <c r="S54" s="268">
        <f>2045975/1000</f>
        <v>2045.9749999999999</v>
      </c>
      <c r="T54" s="239">
        <f>2351423/1000</f>
        <v>2351.4229999999998</v>
      </c>
      <c r="U54" s="239">
        <v>2676.4</v>
      </c>
      <c r="V54" s="269">
        <v>3694.3</v>
      </c>
      <c r="W54" s="269">
        <v>2566.1</v>
      </c>
      <c r="X54" s="194">
        <v>0</v>
      </c>
      <c r="Y54" s="194"/>
    </row>
    <row r="55" spans="2:25" ht="14.25" x14ac:dyDescent="0.2">
      <c r="B55" s="165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48"/>
      <c r="Q55" s="275"/>
      <c r="R55" s="276"/>
      <c r="S55" s="277"/>
      <c r="T55" s="278"/>
      <c r="U55" s="278"/>
      <c r="V55" s="250"/>
      <c r="W55" s="250"/>
      <c r="X55" s="250"/>
      <c r="Y55" s="250"/>
    </row>
    <row r="56" spans="2:25" ht="14.25" x14ac:dyDescent="0.2">
      <c r="B56" s="165"/>
      <c r="C56" s="177" t="s">
        <v>205</v>
      </c>
      <c r="D56" s="259"/>
      <c r="E56" s="259"/>
      <c r="F56" s="259"/>
      <c r="G56" s="259"/>
      <c r="H56" s="259"/>
      <c r="I56" s="259"/>
      <c r="J56" s="259"/>
      <c r="K56" s="259"/>
      <c r="L56" s="171"/>
      <c r="M56" s="259"/>
      <c r="N56" s="259"/>
      <c r="O56" s="259"/>
      <c r="P56" s="185"/>
      <c r="Q56" s="252"/>
      <c r="R56" s="252"/>
      <c r="S56" s="252"/>
      <c r="T56" s="252"/>
      <c r="U56" s="252"/>
      <c r="V56" s="252"/>
      <c r="W56" s="252"/>
      <c r="X56" s="177"/>
      <c r="Y56" s="121"/>
    </row>
    <row r="57" spans="2:25" ht="14.25" x14ac:dyDescent="0.2">
      <c r="C57" s="121"/>
      <c r="D57" s="133"/>
      <c r="E57" s="133"/>
      <c r="F57" s="133"/>
      <c r="G57" s="133"/>
      <c r="H57" s="133"/>
      <c r="I57" s="133"/>
      <c r="J57" s="133"/>
      <c r="K57" s="133"/>
      <c r="L57" s="120"/>
      <c r="M57" s="133"/>
      <c r="N57" s="133"/>
      <c r="O57" s="133"/>
      <c r="P57" s="126"/>
      <c r="Q57" s="128"/>
      <c r="R57" s="128"/>
      <c r="S57" s="128"/>
      <c r="T57" s="128"/>
      <c r="U57" s="128"/>
      <c r="V57" s="128"/>
      <c r="W57" s="128"/>
      <c r="X57" s="121"/>
      <c r="Y57" s="121"/>
    </row>
    <row r="58" spans="2:25" ht="14.25" x14ac:dyDescent="0.2">
      <c r="C58" s="121"/>
      <c r="D58" s="133"/>
      <c r="E58" s="133"/>
      <c r="F58" s="133"/>
      <c r="G58" s="133"/>
      <c r="H58" s="133"/>
      <c r="I58" s="133"/>
      <c r="J58" s="133"/>
      <c r="K58" s="133"/>
      <c r="L58" s="120"/>
      <c r="M58" s="133"/>
      <c r="N58" s="133"/>
      <c r="O58" s="133"/>
      <c r="P58" s="126"/>
      <c r="Q58" s="128"/>
      <c r="R58" s="128"/>
      <c r="S58" s="128"/>
      <c r="T58" s="128"/>
      <c r="U58" s="128"/>
      <c r="V58" s="128"/>
      <c r="W58" s="128"/>
      <c r="X58" s="121"/>
      <c r="Y58" s="121"/>
    </row>
    <row r="59" spans="2:25" ht="14.25" x14ac:dyDescent="0.2">
      <c r="B59" s="134"/>
      <c r="C59" s="135"/>
      <c r="D59" s="133"/>
      <c r="E59" s="133"/>
      <c r="F59" s="133"/>
      <c r="G59" s="133"/>
      <c r="H59" s="133"/>
      <c r="I59" s="133"/>
      <c r="J59" s="133"/>
      <c r="K59" s="133"/>
      <c r="L59" s="120"/>
      <c r="M59" s="133"/>
      <c r="N59" s="133"/>
      <c r="O59" s="133"/>
      <c r="P59" s="126"/>
      <c r="Q59" s="128"/>
      <c r="R59" s="128"/>
      <c r="S59" s="128"/>
      <c r="T59" s="128"/>
      <c r="U59" s="128"/>
      <c r="V59" s="128"/>
      <c r="W59" s="128"/>
      <c r="X59" s="121"/>
      <c r="Y59" s="121"/>
    </row>
    <row r="60" spans="2:25" ht="14.25" x14ac:dyDescent="0.2">
      <c r="B60" s="134"/>
      <c r="C60" s="135"/>
      <c r="D60" s="133"/>
      <c r="E60" s="133"/>
      <c r="F60" s="133"/>
      <c r="G60" s="133"/>
      <c r="H60" s="133"/>
      <c r="I60" s="133"/>
      <c r="J60" s="133"/>
      <c r="K60" s="133"/>
      <c r="L60" s="120"/>
      <c r="M60" s="133"/>
      <c r="N60" s="133"/>
      <c r="O60" s="133"/>
      <c r="P60" s="126"/>
      <c r="Q60" s="128"/>
      <c r="R60" s="128"/>
      <c r="S60" s="128"/>
      <c r="T60" s="128"/>
      <c r="U60" s="128"/>
      <c r="V60" s="128"/>
      <c r="W60" s="128"/>
      <c r="X60" s="121"/>
      <c r="Y60" s="121"/>
    </row>
    <row r="61" spans="2:25" ht="14.25" x14ac:dyDescent="0.2">
      <c r="C61" s="130"/>
      <c r="D61" s="133"/>
      <c r="E61" s="133"/>
      <c r="F61" s="133"/>
      <c r="G61" s="133"/>
      <c r="H61" s="133"/>
      <c r="I61" s="133"/>
      <c r="J61" s="133"/>
      <c r="K61" s="133"/>
      <c r="L61" s="120"/>
      <c r="M61" s="133"/>
      <c r="N61" s="133"/>
      <c r="O61" s="133"/>
      <c r="P61" s="126"/>
      <c r="Q61" s="128"/>
      <c r="R61" s="128"/>
      <c r="S61" s="128"/>
      <c r="T61" s="128"/>
      <c r="U61" s="128"/>
      <c r="V61" s="128"/>
      <c r="W61" s="128"/>
      <c r="X61" s="121"/>
      <c r="Y61" s="121"/>
    </row>
    <row r="69" spans="2:35" x14ac:dyDescent="0.2">
      <c r="U69"/>
    </row>
    <row r="71" spans="2:35" ht="9" customHeight="1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spans="2:35" x14ac:dyDescent="0.2">
      <c r="B72" s="394">
        <v>33</v>
      </c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18"/>
      <c r="Z72" s="136"/>
      <c r="AA72" s="136"/>
      <c r="AB72" s="136"/>
      <c r="AC72" s="136"/>
      <c r="AD72" s="136"/>
      <c r="AE72" s="136"/>
      <c r="AF72" s="136"/>
      <c r="AG72" s="136"/>
    </row>
    <row r="73" spans="2:35" ht="14.25" x14ac:dyDescent="0.2">
      <c r="C73" s="130"/>
      <c r="D73" s="133"/>
      <c r="E73" s="133"/>
      <c r="F73" s="133"/>
      <c r="G73" s="133"/>
      <c r="H73" s="133"/>
      <c r="I73" s="133"/>
      <c r="J73" s="133"/>
      <c r="K73" s="133"/>
      <c r="L73" s="120"/>
      <c r="M73" s="133"/>
      <c r="N73" s="133"/>
      <c r="O73" s="133"/>
      <c r="P73" s="126"/>
      <c r="Q73" s="128"/>
      <c r="R73" s="128"/>
      <c r="S73" s="128"/>
      <c r="T73" s="128"/>
      <c r="U73" s="128"/>
      <c r="V73" s="128"/>
      <c r="W73" s="128"/>
      <c r="X73" s="121"/>
      <c r="Y73" s="121"/>
    </row>
    <row r="74" spans="2:35" ht="14.25" x14ac:dyDescent="0.2">
      <c r="C74" s="130"/>
      <c r="D74" s="133"/>
      <c r="E74" s="133"/>
      <c r="F74" s="133"/>
      <c r="G74" s="133"/>
      <c r="H74" s="133"/>
      <c r="I74" s="133"/>
      <c r="J74" s="133"/>
      <c r="K74" s="133"/>
      <c r="L74" s="120"/>
      <c r="M74" s="133"/>
      <c r="N74" s="133"/>
      <c r="O74" s="133"/>
      <c r="P74" s="126"/>
      <c r="Q74" s="128"/>
      <c r="R74" s="128"/>
      <c r="S74" s="128"/>
      <c r="T74" s="128"/>
      <c r="U74" s="128"/>
      <c r="V74" s="128"/>
      <c r="W74" s="128"/>
      <c r="X74" s="121"/>
      <c r="Y74" s="121"/>
    </row>
    <row r="75" spans="2:35" ht="14.25" x14ac:dyDescent="0.2">
      <c r="B75" s="137"/>
      <c r="C75" s="130"/>
      <c r="D75" s="125"/>
      <c r="E75" s="125"/>
      <c r="F75" s="125"/>
      <c r="G75" s="125"/>
      <c r="H75" s="125"/>
      <c r="I75" s="125">
        <f>SUM(D53,D55)</f>
        <v>0</v>
      </c>
      <c r="J75" s="125">
        <f>SUM(E53,E55)</f>
        <v>0</v>
      </c>
      <c r="K75" s="125">
        <f>SUM(F53,F55)</f>
        <v>0</v>
      </c>
      <c r="L75" s="121"/>
      <c r="M75" s="122"/>
      <c r="N75" s="122"/>
      <c r="O75" s="121"/>
      <c r="P75" s="126"/>
      <c r="Q75" s="128"/>
      <c r="R75" s="128"/>
      <c r="S75" s="128"/>
      <c r="T75" s="128"/>
      <c r="U75" s="128"/>
      <c r="V75" s="128"/>
      <c r="W75" s="128"/>
      <c r="X75" s="121"/>
      <c r="Y75" s="121"/>
    </row>
    <row r="76" spans="2:35" ht="14.25" x14ac:dyDescent="0.2">
      <c r="B76" s="137"/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2"/>
      <c r="N76" s="122"/>
      <c r="O76" s="121"/>
      <c r="P76" s="126"/>
      <c r="Q76" s="128"/>
      <c r="R76" s="128"/>
      <c r="S76" s="128"/>
      <c r="T76" s="128"/>
      <c r="U76" s="128"/>
      <c r="V76" s="128"/>
      <c r="W76" s="128"/>
      <c r="X76" s="121"/>
      <c r="Y76" s="121"/>
    </row>
    <row r="77" spans="2:35" s="137" customFormat="1" ht="14.25" x14ac:dyDescent="0.2">
      <c r="C77" s="138" t="s">
        <v>6</v>
      </c>
      <c r="D77" s="139">
        <f t="shared" ref="D77:O77" si="10">D45+D50</f>
        <v>1437822</v>
      </c>
      <c r="E77" s="139">
        <f t="shared" si="10"/>
        <v>1313556.26</v>
      </c>
      <c r="F77" s="139">
        <f t="shared" si="10"/>
        <v>1304599.1599999999</v>
      </c>
      <c r="G77" s="139">
        <f t="shared" si="10"/>
        <v>1383.3630000000001</v>
      </c>
      <c r="H77" s="139">
        <f t="shared" si="10"/>
        <v>1902.6558000000002</v>
      </c>
      <c r="I77" s="139">
        <f t="shared" si="10"/>
        <v>0</v>
      </c>
      <c r="J77" s="139">
        <f t="shared" si="10"/>
        <v>0</v>
      </c>
      <c r="K77" s="139">
        <f t="shared" si="10"/>
        <v>0</v>
      </c>
      <c r="L77" s="139">
        <f t="shared" si="10"/>
        <v>0</v>
      </c>
      <c r="M77" s="139">
        <f t="shared" si="10"/>
        <v>2094.0245</v>
      </c>
      <c r="N77" s="139">
        <f t="shared" si="10"/>
        <v>2209.4236500000002</v>
      </c>
      <c r="O77" s="139">
        <f t="shared" si="10"/>
        <v>2196.0070000000001</v>
      </c>
      <c r="P77" s="126" t="s">
        <v>110</v>
      </c>
      <c r="Q77" s="126" t="s">
        <v>110</v>
      </c>
      <c r="R77" s="126" t="s">
        <v>110</v>
      </c>
      <c r="S77" s="126" t="s">
        <v>110</v>
      </c>
      <c r="T77" s="126"/>
      <c r="U77" s="126"/>
      <c r="V77" s="126"/>
      <c r="W77" s="126"/>
      <c r="X77" s="126" t="s">
        <v>110</v>
      </c>
      <c r="Y77" s="126"/>
    </row>
    <row r="78" spans="2:35" s="137" customFormat="1" ht="14.25" x14ac:dyDescent="0.2"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9"/>
      <c r="N78" s="129"/>
      <c r="O78" s="120"/>
      <c r="P78" s="126" t="s">
        <v>110</v>
      </c>
      <c r="Q78" s="126" t="s">
        <v>110</v>
      </c>
      <c r="R78" s="126" t="s">
        <v>110</v>
      </c>
      <c r="S78" s="126" t="s">
        <v>110</v>
      </c>
      <c r="T78" s="126"/>
      <c r="U78" s="126"/>
      <c r="V78" s="126"/>
      <c r="W78" s="126"/>
      <c r="X78" s="126" t="s">
        <v>110</v>
      </c>
      <c r="Y78" s="126"/>
    </row>
    <row r="79" spans="2:35" s="137" customFormat="1" ht="14.25" x14ac:dyDescent="0.2">
      <c r="C79" s="131" t="s">
        <v>1</v>
      </c>
      <c r="D79" s="139">
        <f t="shared" ref="D79:O79" si="11">D14+D52</f>
        <v>7656719.1500000004</v>
      </c>
      <c r="E79" s="139">
        <f t="shared" si="11"/>
        <v>6706557.6299999999</v>
      </c>
      <c r="F79" s="139">
        <f t="shared" si="11"/>
        <v>7604128.8200000003</v>
      </c>
      <c r="G79" s="139">
        <f t="shared" si="11"/>
        <v>7829.7480000000005</v>
      </c>
      <c r="H79" s="139">
        <f t="shared" si="11"/>
        <v>11534.875680000001</v>
      </c>
      <c r="I79" s="139">
        <f t="shared" si="11"/>
        <v>0</v>
      </c>
      <c r="J79" s="139">
        <f t="shared" si="11"/>
        <v>0</v>
      </c>
      <c r="K79" s="139">
        <f t="shared" si="11"/>
        <v>0</v>
      </c>
      <c r="L79" s="139">
        <f t="shared" si="11"/>
        <v>0</v>
      </c>
      <c r="M79" s="139">
        <f t="shared" si="11"/>
        <v>11442.88465</v>
      </c>
      <c r="N79" s="139">
        <f t="shared" si="11"/>
        <v>12624.050279999999</v>
      </c>
      <c r="O79" s="139">
        <f t="shared" si="11"/>
        <v>13110.682809999998</v>
      </c>
      <c r="P79" s="126" t="s">
        <v>110</v>
      </c>
      <c r="Q79" s="126" t="s">
        <v>110</v>
      </c>
      <c r="R79" s="126" t="s">
        <v>110</v>
      </c>
      <c r="S79" s="126" t="s">
        <v>110</v>
      </c>
      <c r="T79" s="126"/>
      <c r="U79" s="126"/>
      <c r="V79" s="126"/>
      <c r="W79" s="126"/>
      <c r="X79" s="126" t="s">
        <v>110</v>
      </c>
      <c r="Y79" s="126"/>
    </row>
    <row r="80" spans="2:35" s="137" customFormat="1" ht="14.25" x14ac:dyDescent="0.2">
      <c r="C80" s="131"/>
      <c r="D80" s="120"/>
      <c r="E80" s="120"/>
      <c r="F80" s="120"/>
      <c r="G80" s="120"/>
      <c r="H80" s="120"/>
      <c r="I80" s="120"/>
      <c r="J80" s="120"/>
      <c r="K80" s="120"/>
      <c r="L80" s="120"/>
      <c r="M80" s="129"/>
      <c r="N80" s="129"/>
      <c r="O80" s="120"/>
      <c r="P80" s="126" t="s">
        <v>110</v>
      </c>
      <c r="Q80" s="126" t="s">
        <v>110</v>
      </c>
      <c r="R80" s="126" t="s">
        <v>110</v>
      </c>
      <c r="S80" s="126" t="s">
        <v>110</v>
      </c>
      <c r="T80" s="126"/>
      <c r="U80" s="126"/>
      <c r="V80" s="126"/>
      <c r="W80" s="126"/>
      <c r="X80" s="126" t="s">
        <v>110</v>
      </c>
      <c r="Y80" s="126"/>
    </row>
    <row r="81" spans="2:25" ht="14.25" x14ac:dyDescent="0.2">
      <c r="B81" s="137"/>
      <c r="C81" s="131" t="s">
        <v>2</v>
      </c>
      <c r="D81" s="139">
        <f t="shared" ref="D81:O81" si="12">D28+D54</f>
        <v>7602527</v>
      </c>
      <c r="E81" s="139">
        <f t="shared" si="12"/>
        <v>7535940.1200000001</v>
      </c>
      <c r="F81" s="139">
        <f t="shared" si="12"/>
        <v>7286396.3200000003</v>
      </c>
      <c r="G81" s="139">
        <f t="shared" si="12"/>
        <v>7414.6990000000005</v>
      </c>
      <c r="H81" s="139">
        <f t="shared" si="12"/>
        <v>11125.905119999999</v>
      </c>
      <c r="I81" s="139" t="e">
        <f t="shared" si="12"/>
        <v>#REF!</v>
      </c>
      <c r="J81" s="139" t="e">
        <f t="shared" si="12"/>
        <v>#REF!</v>
      </c>
      <c r="K81" s="139" t="e">
        <f t="shared" si="12"/>
        <v>#REF!</v>
      </c>
      <c r="L81" s="139">
        <f t="shared" si="12"/>
        <v>0</v>
      </c>
      <c r="M81" s="139">
        <f t="shared" si="12"/>
        <v>11109.438849999999</v>
      </c>
      <c r="N81" s="139">
        <f t="shared" si="12"/>
        <v>12494.97753</v>
      </c>
      <c r="O81" s="139">
        <f t="shared" si="12"/>
        <v>11033.579</v>
      </c>
      <c r="P81" s="126" t="s">
        <v>110</v>
      </c>
      <c r="Q81" s="126" t="s">
        <v>110</v>
      </c>
      <c r="R81" s="126" t="s">
        <v>110</v>
      </c>
      <c r="S81" s="126" t="s">
        <v>110</v>
      </c>
      <c r="T81" s="126"/>
      <c r="U81" s="126"/>
      <c r="V81" s="126"/>
      <c r="W81" s="126"/>
      <c r="X81" s="126" t="s">
        <v>110</v>
      </c>
      <c r="Y81" s="126"/>
    </row>
    <row r="82" spans="2:25" ht="14.25" x14ac:dyDescent="0.2">
      <c r="B82" s="131"/>
      <c r="C82" s="131"/>
      <c r="D82" s="120"/>
      <c r="E82" s="120"/>
      <c r="F82" s="120"/>
      <c r="G82" s="120"/>
      <c r="H82" s="120"/>
      <c r="I82" s="120"/>
      <c r="J82" s="120"/>
      <c r="K82" s="120"/>
      <c r="L82" s="120"/>
      <c r="M82" s="129"/>
      <c r="N82" s="129"/>
      <c r="O82" s="121"/>
      <c r="P82" s="126" t="s">
        <v>110</v>
      </c>
      <c r="Q82" s="126" t="s">
        <v>110</v>
      </c>
      <c r="R82" s="126" t="s">
        <v>110</v>
      </c>
      <c r="S82" s="126" t="s">
        <v>110</v>
      </c>
      <c r="T82" s="126"/>
      <c r="U82" s="126"/>
      <c r="V82" s="126"/>
      <c r="W82" s="126"/>
      <c r="X82" s="126" t="s">
        <v>110</v>
      </c>
      <c r="Y82" s="126"/>
    </row>
    <row r="83" spans="2:25" ht="14.25" x14ac:dyDescent="0.2">
      <c r="B83" s="137"/>
      <c r="C83" s="131" t="s">
        <v>38</v>
      </c>
      <c r="D83" s="139">
        <f t="shared" ref="D83:O83" si="13">D39+D41</f>
        <v>2969987</v>
      </c>
      <c r="E83" s="139">
        <f t="shared" si="13"/>
        <v>3058750</v>
      </c>
      <c r="F83" s="139">
        <f t="shared" si="13"/>
        <v>3009449</v>
      </c>
      <c r="G83" s="139">
        <f t="shared" si="13"/>
        <v>3103.3029999999999</v>
      </c>
      <c r="H83" s="139">
        <f t="shared" si="13"/>
        <v>3789.33</v>
      </c>
      <c r="I83" s="139">
        <f t="shared" si="13"/>
        <v>0</v>
      </c>
      <c r="J83" s="139">
        <f t="shared" si="13"/>
        <v>0</v>
      </c>
      <c r="K83" s="139">
        <f t="shared" si="13"/>
        <v>0</v>
      </c>
      <c r="L83" s="139">
        <f t="shared" si="13"/>
        <v>0</v>
      </c>
      <c r="M83" s="139">
        <f t="shared" si="13"/>
        <v>4038.998</v>
      </c>
      <c r="N83" s="139">
        <f t="shared" si="13"/>
        <v>4412.6729999999998</v>
      </c>
      <c r="O83" s="139">
        <f t="shared" si="13"/>
        <v>4813.8799999999992</v>
      </c>
      <c r="P83" s="126" t="s">
        <v>110</v>
      </c>
      <c r="Q83" s="126" t="s">
        <v>110</v>
      </c>
      <c r="R83" s="126" t="s">
        <v>110</v>
      </c>
      <c r="S83" s="126" t="s">
        <v>110</v>
      </c>
      <c r="T83" s="126"/>
      <c r="U83" s="126"/>
      <c r="V83" s="126"/>
      <c r="W83" s="126"/>
      <c r="X83" s="126" t="s">
        <v>110</v>
      </c>
      <c r="Y83" s="126"/>
    </row>
    <row r="84" spans="2:25" ht="14.25" x14ac:dyDescent="0.2">
      <c r="B84" s="140"/>
      <c r="C84" s="141"/>
      <c r="D84" s="132"/>
      <c r="E84" s="132"/>
      <c r="F84" s="132"/>
      <c r="G84" s="132"/>
      <c r="H84" s="132"/>
      <c r="I84" s="132"/>
      <c r="J84" s="132"/>
      <c r="K84" s="132"/>
      <c r="L84" s="132"/>
      <c r="M84" s="142"/>
      <c r="N84" s="142"/>
      <c r="O84" s="132"/>
      <c r="P84" s="132"/>
      <c r="Q84" s="143"/>
      <c r="R84" s="143"/>
      <c r="S84" s="143"/>
      <c r="T84" s="143"/>
      <c r="U84" s="143"/>
      <c r="V84" s="143"/>
      <c r="W84" s="143"/>
      <c r="X84" s="132"/>
      <c r="Y84" s="120"/>
    </row>
    <row r="85" spans="2:25" x14ac:dyDescent="0.2">
      <c r="C85" s="131"/>
      <c r="D85" s="123"/>
      <c r="E85" s="123"/>
      <c r="F85" s="123"/>
      <c r="G85" s="123"/>
      <c r="H85" s="123"/>
      <c r="I85" s="123" t="e">
        <f>SUM(I79:I83)</f>
        <v>#REF!</v>
      </c>
      <c r="J85" s="123" t="e">
        <f>SUM(J79:J83)</f>
        <v>#REF!</v>
      </c>
      <c r="K85" s="123" t="e">
        <f>SUM(K79:K83)</f>
        <v>#REF!</v>
      </c>
      <c r="L85" s="123">
        <f>SUM(L79:L83)</f>
        <v>0</v>
      </c>
      <c r="M85" s="123"/>
      <c r="N85" s="123"/>
      <c r="O85" s="123"/>
    </row>
  </sheetData>
  <mergeCells count="3">
    <mergeCell ref="N4:X4"/>
    <mergeCell ref="C8:X8"/>
    <mergeCell ref="B72:X72"/>
  </mergeCells>
  <phoneticPr fontId="0" type="noConversion"/>
  <pageMargins left="0.62" right="0.44" top="0.65" bottom="0.64" header="0.5" footer="0.5"/>
  <pageSetup scale="75" orientation="portrait" r:id="rId1"/>
  <headerFooter alignWithMargins="0"/>
  <ignoredErrors>
    <ignoredError sqref="W16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1331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47625</xdr:rowOff>
              </from>
              <to>
                <xdr:col>1</xdr:col>
                <xdr:colOff>228600</xdr:colOff>
                <xdr:row>1</xdr:row>
                <xdr:rowOff>19050</xdr:rowOff>
              </to>
            </anchor>
          </objectPr>
        </oleObject>
      </mc:Choice>
      <mc:Fallback>
        <oleObject progId="MSPhotoEd.3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4:S69"/>
  <sheetViews>
    <sheetView view="pageBreakPreview" topLeftCell="A7" zoomScaleNormal="90" zoomScaleSheetLayoutView="100" workbookViewId="0">
      <selection activeCell="K39" sqref="K39"/>
    </sheetView>
  </sheetViews>
  <sheetFormatPr defaultRowHeight="12.75" outlineLevelRow="1" x14ac:dyDescent="0.2"/>
  <cols>
    <col min="1" max="1" width="6.42578125" customWidth="1"/>
    <col min="2" max="2" width="42.85546875" customWidth="1"/>
    <col min="3" max="4" width="9.85546875" hidden="1" customWidth="1"/>
    <col min="5" max="5" width="10.85546875" hidden="1" customWidth="1"/>
    <col min="6" max="6" width="11.7109375" hidden="1" customWidth="1"/>
    <col min="7" max="8" width="9.7109375" customWidth="1"/>
    <col min="9" max="9" width="1.42578125" customWidth="1"/>
    <col min="10" max="11" width="10.140625" customWidth="1"/>
    <col min="12" max="12" width="10.85546875" customWidth="1"/>
  </cols>
  <sheetData>
    <row r="4" spans="1:16" ht="15" x14ac:dyDescent="0.25">
      <c r="C4" s="391" t="s">
        <v>207</v>
      </c>
      <c r="D4" s="391"/>
      <c r="E4" s="391"/>
      <c r="F4" s="391"/>
      <c r="G4" s="391"/>
      <c r="H4" s="391"/>
      <c r="I4" s="391"/>
      <c r="J4" s="391"/>
      <c r="K4" s="391"/>
      <c r="L4" s="391"/>
    </row>
    <row r="5" spans="1:16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6" ht="12.75" customHeight="1" x14ac:dyDescent="0.2">
      <c r="B7" s="24"/>
    </row>
    <row r="8" spans="1:16" ht="15.75" x14ac:dyDescent="0.25">
      <c r="A8" s="44" t="s">
        <v>209</v>
      </c>
      <c r="B8" s="395" t="s">
        <v>212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</row>
    <row r="9" spans="1:16" ht="12.75" customHeight="1" x14ac:dyDescent="0.25">
      <c r="A9" s="31"/>
      <c r="B9" s="13"/>
    </row>
    <row r="10" spans="1:16" x14ac:dyDescent="0.2">
      <c r="I10" s="2"/>
      <c r="J10" s="2"/>
      <c r="K10" s="2"/>
      <c r="L10" s="2"/>
      <c r="M10" s="19"/>
    </row>
    <row r="11" spans="1:16" x14ac:dyDescent="0.2">
      <c r="B11" s="8" t="s">
        <v>129</v>
      </c>
      <c r="C11" s="43">
        <v>2003</v>
      </c>
      <c r="D11" s="43">
        <v>2004</v>
      </c>
      <c r="E11" s="43">
        <v>2005</v>
      </c>
      <c r="F11" s="43">
        <v>2006</v>
      </c>
      <c r="G11" s="45">
        <v>2007</v>
      </c>
      <c r="H11" s="45">
        <v>2008</v>
      </c>
      <c r="I11" s="113"/>
      <c r="J11" s="112">
        <v>2009</v>
      </c>
      <c r="K11" s="112">
        <v>2010</v>
      </c>
      <c r="L11" s="112">
        <v>2011</v>
      </c>
      <c r="M11" s="43">
        <v>2012</v>
      </c>
      <c r="N11" s="64"/>
      <c r="O11" s="64"/>
      <c r="P11" s="64"/>
    </row>
    <row r="12" spans="1:16" x14ac:dyDescent="0.2">
      <c r="N12" s="19"/>
    </row>
    <row r="13" spans="1:16" ht="14.25" x14ac:dyDescent="0.2">
      <c r="B13" s="5" t="s">
        <v>130</v>
      </c>
      <c r="C13" s="23">
        <f t="shared" ref="C13:L13" si="0">SUM(C14:C15)</f>
        <v>24</v>
      </c>
      <c r="D13" s="23">
        <f t="shared" si="0"/>
        <v>41</v>
      </c>
      <c r="E13" s="23">
        <f t="shared" si="0"/>
        <v>61</v>
      </c>
      <c r="F13" s="23">
        <f t="shared" si="0"/>
        <v>81</v>
      </c>
      <c r="G13" s="23">
        <f t="shared" si="0"/>
        <v>115</v>
      </c>
      <c r="H13" s="23">
        <f t="shared" si="0"/>
        <v>135</v>
      </c>
      <c r="I13" s="94"/>
      <c r="J13" s="23">
        <f>SUM(J14:J15)</f>
        <v>91</v>
      </c>
      <c r="K13" s="23">
        <f>SUM(K14:K15)</f>
        <v>130</v>
      </c>
      <c r="L13" s="23">
        <f t="shared" si="0"/>
        <v>128</v>
      </c>
      <c r="M13" s="23"/>
      <c r="N13" s="19"/>
    </row>
    <row r="14" spans="1:16" ht="14.25" x14ac:dyDescent="0.2">
      <c r="B14" s="53" t="s">
        <v>131</v>
      </c>
      <c r="C14" s="22">
        <v>14</v>
      </c>
      <c r="D14" s="22">
        <v>25</v>
      </c>
      <c r="E14" s="22">
        <v>37</v>
      </c>
      <c r="F14" s="22">
        <v>49</v>
      </c>
      <c r="G14" s="22">
        <v>69</v>
      </c>
      <c r="H14" s="22">
        <v>60</v>
      </c>
      <c r="I14" s="94"/>
      <c r="J14" s="22">
        <v>42</v>
      </c>
      <c r="K14" s="22">
        <v>58</v>
      </c>
      <c r="L14" s="22">
        <v>47</v>
      </c>
      <c r="M14" s="22"/>
      <c r="N14" s="19"/>
    </row>
    <row r="15" spans="1:16" ht="14.25" x14ac:dyDescent="0.2">
      <c r="B15" s="53" t="s">
        <v>132</v>
      </c>
      <c r="C15" s="22">
        <v>10</v>
      </c>
      <c r="D15" s="22">
        <v>16</v>
      </c>
      <c r="E15" s="22">
        <v>24</v>
      </c>
      <c r="F15" s="22">
        <v>32</v>
      </c>
      <c r="G15" s="22">
        <v>46</v>
      </c>
      <c r="H15" s="22">
        <v>75</v>
      </c>
      <c r="I15" s="94"/>
      <c r="J15" s="22">
        <v>49</v>
      </c>
      <c r="K15" s="22">
        <v>72</v>
      </c>
      <c r="L15" s="22">
        <v>81</v>
      </c>
      <c r="M15" s="22"/>
      <c r="N15" s="19"/>
    </row>
    <row r="16" spans="1:16" x14ac:dyDescent="0.2">
      <c r="B16" s="3"/>
      <c r="C16" s="22"/>
      <c r="D16" s="22"/>
      <c r="E16" s="22"/>
      <c r="F16" s="22"/>
      <c r="G16" s="22"/>
      <c r="H16" s="22"/>
      <c r="I16" s="22"/>
      <c r="N16" s="19"/>
    </row>
    <row r="17" spans="2:17" ht="14.25" x14ac:dyDescent="0.2">
      <c r="B17" s="4" t="s">
        <v>120</v>
      </c>
      <c r="C17" s="23">
        <f t="shared" ref="C17:H17" si="1">SUM(C18:C19)</f>
        <v>600</v>
      </c>
      <c r="D17" s="23">
        <f t="shared" si="1"/>
        <v>604</v>
      </c>
      <c r="E17" s="23">
        <f t="shared" si="1"/>
        <v>576</v>
      </c>
      <c r="F17" s="23">
        <f t="shared" si="1"/>
        <v>642</v>
      </c>
      <c r="G17" s="23">
        <f t="shared" si="1"/>
        <v>814</v>
      </c>
      <c r="H17" s="23">
        <f t="shared" si="1"/>
        <v>742</v>
      </c>
      <c r="I17" s="94"/>
      <c r="J17" s="23">
        <f>SUM(J18:J19)</f>
        <v>837</v>
      </c>
      <c r="K17" s="23">
        <f>SUM(K18:K19)</f>
        <v>788</v>
      </c>
      <c r="L17" s="23">
        <f>SUM(L18:L19)</f>
        <v>772</v>
      </c>
      <c r="M17" s="23"/>
      <c r="N17" s="19"/>
    </row>
    <row r="18" spans="2:17" ht="14.25" x14ac:dyDescent="0.2">
      <c r="B18" s="53" t="s">
        <v>131</v>
      </c>
      <c r="C18" s="22">
        <v>390</v>
      </c>
      <c r="D18" s="22">
        <v>374</v>
      </c>
      <c r="E18" s="22">
        <v>340</v>
      </c>
      <c r="F18" s="22">
        <v>347</v>
      </c>
      <c r="G18" s="22">
        <v>342</v>
      </c>
      <c r="H18" s="22">
        <v>306</v>
      </c>
      <c r="I18" s="94"/>
      <c r="J18" s="22">
        <v>342</v>
      </c>
      <c r="K18" s="22">
        <v>340</v>
      </c>
      <c r="L18" s="22">
        <v>298</v>
      </c>
      <c r="M18" s="22"/>
      <c r="N18" s="19"/>
    </row>
    <row r="19" spans="2:17" ht="14.25" x14ac:dyDescent="0.2">
      <c r="B19" s="53" t="s">
        <v>132</v>
      </c>
      <c r="C19" s="22">
        <v>210</v>
      </c>
      <c r="D19" s="22">
        <v>230</v>
      </c>
      <c r="E19" s="22">
        <v>236</v>
      </c>
      <c r="F19" s="22">
        <v>295</v>
      </c>
      <c r="G19" s="22">
        <v>472</v>
      </c>
      <c r="H19" s="22">
        <v>436</v>
      </c>
      <c r="I19" s="94"/>
      <c r="J19" s="22">
        <v>495</v>
      </c>
      <c r="K19" s="22">
        <v>448</v>
      </c>
      <c r="L19" s="22">
        <v>474</v>
      </c>
      <c r="M19" s="22"/>
      <c r="N19" s="19"/>
    </row>
    <row r="20" spans="2:17" x14ac:dyDescent="0.2">
      <c r="B20" s="153" t="s">
        <v>219</v>
      </c>
      <c r="C20" s="22"/>
      <c r="D20" s="22"/>
      <c r="E20" s="22"/>
      <c r="F20" s="22"/>
      <c r="G20" s="22"/>
      <c r="H20" s="22"/>
      <c r="I20" s="22"/>
      <c r="N20" s="19"/>
      <c r="Q20" s="4"/>
    </row>
    <row r="21" spans="2:17" x14ac:dyDescent="0.2">
      <c r="B21" s="53"/>
      <c r="C21" s="22"/>
      <c r="D21" s="22"/>
      <c r="E21" s="22"/>
      <c r="F21" s="22"/>
      <c r="G21" s="22"/>
      <c r="H21" s="22"/>
      <c r="I21" s="22"/>
      <c r="N21" s="19"/>
      <c r="Q21" s="4"/>
    </row>
    <row r="22" spans="2:17" ht="14.25" x14ac:dyDescent="0.2">
      <c r="B22" s="70" t="s">
        <v>162</v>
      </c>
      <c r="C22" s="23">
        <f t="shared" ref="C22:H22" si="2">SUM(C23:C34)</f>
        <v>95</v>
      </c>
      <c r="D22" s="23">
        <f t="shared" si="2"/>
        <v>78</v>
      </c>
      <c r="E22" s="23">
        <f t="shared" si="2"/>
        <v>92</v>
      </c>
      <c r="F22" s="23">
        <f t="shared" si="2"/>
        <v>93</v>
      </c>
      <c r="G22" s="111">
        <f t="shared" si="2"/>
        <v>232</v>
      </c>
      <c r="H22" s="23">
        <f t="shared" si="2"/>
        <v>102</v>
      </c>
      <c r="I22" s="23"/>
      <c r="J22" s="23">
        <f>SUM(J23:J34)</f>
        <v>75</v>
      </c>
      <c r="K22" s="23">
        <f>SUM(K23:K34)</f>
        <v>68</v>
      </c>
      <c r="L22" s="23">
        <f>SUM(L23:L32)</f>
        <v>67</v>
      </c>
      <c r="M22" s="23"/>
      <c r="N22" s="62"/>
    </row>
    <row r="23" spans="2:17" x14ac:dyDescent="0.2">
      <c r="B23" s="53" t="s">
        <v>121</v>
      </c>
      <c r="C23" s="22">
        <v>21</v>
      </c>
      <c r="D23" s="22">
        <v>15</v>
      </c>
      <c r="E23" s="22">
        <v>21</v>
      </c>
      <c r="F23" s="22">
        <v>23</v>
      </c>
      <c r="G23" s="22">
        <v>46</v>
      </c>
      <c r="H23" s="22">
        <v>16</v>
      </c>
      <c r="I23" s="22"/>
      <c r="J23" s="22">
        <v>15</v>
      </c>
      <c r="K23" s="22">
        <v>8</v>
      </c>
      <c r="L23" s="22">
        <v>13</v>
      </c>
      <c r="M23" s="22"/>
      <c r="N23" s="62"/>
    </row>
    <row r="24" spans="2:17" hidden="1" x14ac:dyDescent="0.2">
      <c r="B24" s="52"/>
      <c r="C24" s="22"/>
      <c r="D24" s="22"/>
      <c r="E24" s="22"/>
      <c r="F24" s="22"/>
      <c r="G24" s="22"/>
      <c r="H24" s="22"/>
      <c r="I24" s="22"/>
      <c r="N24" s="62"/>
    </row>
    <row r="25" spans="2:17" hidden="1" x14ac:dyDescent="0.2">
      <c r="B25" s="52"/>
      <c r="C25" s="22"/>
      <c r="D25" s="22"/>
      <c r="E25" s="22"/>
      <c r="F25" s="22"/>
      <c r="G25" s="22"/>
      <c r="H25" s="22"/>
      <c r="I25" s="22"/>
      <c r="N25" s="62"/>
    </row>
    <row r="26" spans="2:17" x14ac:dyDescent="0.2">
      <c r="B26" s="53" t="s">
        <v>122</v>
      </c>
      <c r="C26" s="22">
        <v>16</v>
      </c>
      <c r="D26" s="22">
        <v>17</v>
      </c>
      <c r="E26" s="22">
        <v>18</v>
      </c>
      <c r="F26" s="22">
        <v>22</v>
      </c>
      <c r="G26" s="22">
        <v>38</v>
      </c>
      <c r="H26" s="22">
        <v>14</v>
      </c>
      <c r="I26" s="22"/>
      <c r="J26" s="22">
        <v>11</v>
      </c>
      <c r="K26" s="22">
        <v>14</v>
      </c>
      <c r="L26" s="22">
        <v>15</v>
      </c>
      <c r="M26" s="22"/>
      <c r="N26" s="62"/>
    </row>
    <row r="27" spans="2:17" x14ac:dyDescent="0.2">
      <c r="B27" s="53" t="s">
        <v>123</v>
      </c>
      <c r="C27" s="22">
        <v>0</v>
      </c>
      <c r="D27" s="22">
        <v>0</v>
      </c>
      <c r="E27" s="22">
        <v>19</v>
      </c>
      <c r="F27" s="22">
        <v>14</v>
      </c>
      <c r="G27" s="22">
        <v>39</v>
      </c>
      <c r="H27" s="22">
        <v>19</v>
      </c>
      <c r="I27" s="22"/>
      <c r="J27" s="22" t="s">
        <v>109</v>
      </c>
      <c r="K27" s="22" t="s">
        <v>109</v>
      </c>
      <c r="L27" s="22">
        <v>12</v>
      </c>
      <c r="M27" s="22"/>
      <c r="N27" s="62"/>
    </row>
    <row r="28" spans="2:17" hidden="1" x14ac:dyDescent="0.2">
      <c r="B28" s="52"/>
      <c r="C28" s="22"/>
      <c r="D28" s="22"/>
      <c r="E28" s="22"/>
      <c r="F28" s="22"/>
      <c r="G28" s="22"/>
      <c r="H28" s="22"/>
      <c r="I28" s="22"/>
      <c r="N28" s="62"/>
    </row>
    <row r="29" spans="2:17" hidden="1" x14ac:dyDescent="0.2">
      <c r="B29" s="52"/>
      <c r="C29" s="22"/>
      <c r="D29" s="22"/>
      <c r="E29" s="22"/>
      <c r="F29" s="22"/>
      <c r="G29" s="22"/>
      <c r="H29" s="22"/>
      <c r="I29" s="22"/>
      <c r="N29" s="62"/>
    </row>
    <row r="30" spans="2:17" x14ac:dyDescent="0.2">
      <c r="B30" s="53" t="s">
        <v>124</v>
      </c>
      <c r="C30" s="22">
        <v>19</v>
      </c>
      <c r="D30" s="22">
        <v>15</v>
      </c>
      <c r="E30" s="22">
        <v>7</v>
      </c>
      <c r="F30" s="22">
        <v>13</v>
      </c>
      <c r="G30" s="22">
        <v>44</v>
      </c>
      <c r="H30" s="22">
        <v>16</v>
      </c>
      <c r="I30" s="22"/>
      <c r="J30" s="22">
        <v>16</v>
      </c>
      <c r="K30" s="22">
        <v>17</v>
      </c>
      <c r="L30" s="22">
        <v>10</v>
      </c>
      <c r="M30" s="22"/>
      <c r="N30" s="62"/>
    </row>
    <row r="31" spans="2:17" hidden="1" x14ac:dyDescent="0.2">
      <c r="B31" s="6" t="s">
        <v>25</v>
      </c>
      <c r="C31" s="22"/>
      <c r="D31" s="22"/>
      <c r="E31" s="22"/>
      <c r="F31" s="22"/>
      <c r="G31" s="22"/>
      <c r="H31" s="22"/>
      <c r="I31" s="22"/>
      <c r="L31" s="22">
        <v>7</v>
      </c>
      <c r="N31" s="62"/>
    </row>
    <row r="32" spans="2:17" hidden="1" x14ac:dyDescent="0.2">
      <c r="B32" s="6" t="s">
        <v>26</v>
      </c>
      <c r="C32" s="22"/>
      <c r="D32" s="22"/>
      <c r="E32" s="22"/>
      <c r="F32" s="22"/>
      <c r="G32" s="22"/>
      <c r="H32" s="22"/>
      <c r="I32" s="22"/>
      <c r="L32" s="22">
        <v>10</v>
      </c>
      <c r="N32" s="62"/>
    </row>
    <row r="33" spans="2:14" x14ac:dyDescent="0.2">
      <c r="B33" s="53" t="s">
        <v>36</v>
      </c>
      <c r="C33" s="22">
        <v>17</v>
      </c>
      <c r="D33" s="22">
        <v>15</v>
      </c>
      <c r="E33" s="22">
        <v>17</v>
      </c>
      <c r="F33" s="22">
        <v>21</v>
      </c>
      <c r="G33" s="22">
        <v>50</v>
      </c>
      <c r="H33" s="22">
        <v>31</v>
      </c>
      <c r="I33" s="22"/>
      <c r="J33" s="22">
        <v>20</v>
      </c>
      <c r="K33" s="22">
        <v>21</v>
      </c>
      <c r="L33" s="284">
        <v>7</v>
      </c>
      <c r="M33" s="22"/>
      <c r="N33" s="62"/>
    </row>
    <row r="34" spans="2:14" x14ac:dyDescent="0.2">
      <c r="B34" s="53" t="s">
        <v>133</v>
      </c>
      <c r="C34" s="22">
        <v>22</v>
      </c>
      <c r="D34" s="22">
        <v>16</v>
      </c>
      <c r="E34" s="22">
        <v>10</v>
      </c>
      <c r="F34" s="22" t="s">
        <v>109</v>
      </c>
      <c r="G34" s="22">
        <v>15</v>
      </c>
      <c r="H34" s="22">
        <v>6</v>
      </c>
      <c r="I34" s="22"/>
      <c r="J34" s="22">
        <v>13</v>
      </c>
      <c r="K34" s="22">
        <v>8</v>
      </c>
      <c r="L34" s="284">
        <v>10</v>
      </c>
      <c r="M34" s="22"/>
      <c r="N34" s="62"/>
    </row>
    <row r="35" spans="2:14" x14ac:dyDescent="0.2">
      <c r="B35" s="153" t="s">
        <v>180</v>
      </c>
      <c r="C35" s="22"/>
      <c r="D35" s="22"/>
      <c r="E35" s="22"/>
      <c r="F35" s="22"/>
      <c r="G35" s="22"/>
      <c r="H35" s="22"/>
      <c r="I35" s="22"/>
      <c r="J35" s="22"/>
      <c r="K35" s="22"/>
      <c r="M35" s="22"/>
      <c r="N35" s="62"/>
    </row>
    <row r="36" spans="2:14" x14ac:dyDescent="0.2">
      <c r="B36" s="18"/>
      <c r="N36" s="62"/>
    </row>
    <row r="37" spans="2:14" ht="14.25" x14ac:dyDescent="0.2">
      <c r="B37" s="36" t="s">
        <v>163</v>
      </c>
      <c r="C37" s="23">
        <f t="shared" ref="C37:L37" si="3">SUM(C38:C43)</f>
        <v>46</v>
      </c>
      <c r="D37" s="23">
        <f t="shared" si="3"/>
        <v>63</v>
      </c>
      <c r="E37" s="23">
        <f t="shared" si="3"/>
        <v>41</v>
      </c>
      <c r="F37" s="23">
        <f t="shared" si="3"/>
        <v>60</v>
      </c>
      <c r="G37" s="23">
        <f t="shared" si="3"/>
        <v>58</v>
      </c>
      <c r="H37" s="23">
        <f>SUM(H38:H43)</f>
        <v>34</v>
      </c>
      <c r="I37" s="23"/>
      <c r="J37" s="23">
        <f>SUM(J38:J43)</f>
        <v>12</v>
      </c>
      <c r="K37" s="23">
        <f>SUM(K38:K43)</f>
        <v>33</v>
      </c>
      <c r="L37" s="23">
        <f t="shared" si="3"/>
        <v>39</v>
      </c>
      <c r="M37" s="23"/>
      <c r="N37" s="62"/>
    </row>
    <row r="38" spans="2:14" x14ac:dyDescent="0.2">
      <c r="B38" s="53" t="s">
        <v>125</v>
      </c>
      <c r="C38" s="22">
        <v>7</v>
      </c>
      <c r="D38" s="22">
        <v>22</v>
      </c>
      <c r="E38" s="22">
        <v>11</v>
      </c>
      <c r="F38" s="22">
        <v>11</v>
      </c>
      <c r="G38" s="22">
        <v>16</v>
      </c>
      <c r="H38" s="22">
        <v>3</v>
      </c>
      <c r="I38" s="22"/>
      <c r="J38" s="22" t="s">
        <v>109</v>
      </c>
      <c r="K38" s="22" t="s">
        <v>109</v>
      </c>
      <c r="L38" s="22" t="s">
        <v>109</v>
      </c>
      <c r="M38" s="22"/>
      <c r="N38" s="62"/>
    </row>
    <row r="39" spans="2:14" x14ac:dyDescent="0.2">
      <c r="B39" s="53" t="s">
        <v>134</v>
      </c>
      <c r="C39" s="22">
        <v>16</v>
      </c>
      <c r="D39" s="22">
        <v>11</v>
      </c>
      <c r="E39" s="22">
        <v>8</v>
      </c>
      <c r="F39" s="22">
        <v>8</v>
      </c>
      <c r="G39" s="22">
        <v>1</v>
      </c>
      <c r="H39" s="22" t="s">
        <v>109</v>
      </c>
      <c r="I39" s="110"/>
      <c r="J39" s="22" t="s">
        <v>109</v>
      </c>
      <c r="K39" s="22" t="s">
        <v>109</v>
      </c>
      <c r="L39" s="22" t="s">
        <v>109</v>
      </c>
      <c r="M39" s="22"/>
      <c r="N39" s="62"/>
    </row>
    <row r="40" spans="2:14" x14ac:dyDescent="0.2">
      <c r="B40" s="53" t="s">
        <v>126</v>
      </c>
      <c r="C40" s="22">
        <v>0</v>
      </c>
      <c r="D40" s="22">
        <v>3</v>
      </c>
      <c r="E40" s="22">
        <v>0</v>
      </c>
      <c r="F40" s="22">
        <v>13</v>
      </c>
      <c r="G40" s="22">
        <v>4</v>
      </c>
      <c r="H40" s="22">
        <v>10</v>
      </c>
      <c r="I40" s="22"/>
      <c r="J40" s="22" t="s">
        <v>109</v>
      </c>
      <c r="K40" s="22">
        <v>4</v>
      </c>
      <c r="L40" s="22">
        <v>10</v>
      </c>
      <c r="M40" s="22"/>
      <c r="N40" s="62"/>
    </row>
    <row r="41" spans="2:14" x14ac:dyDescent="0.2">
      <c r="B41" s="53" t="s">
        <v>127</v>
      </c>
      <c r="C41" s="22">
        <v>13</v>
      </c>
      <c r="D41" s="22">
        <v>17</v>
      </c>
      <c r="E41" s="22">
        <v>18</v>
      </c>
      <c r="F41" s="22">
        <v>24</v>
      </c>
      <c r="G41" s="22">
        <v>37</v>
      </c>
      <c r="H41" s="22">
        <v>16</v>
      </c>
      <c r="I41" s="22"/>
      <c r="J41" s="22">
        <v>12</v>
      </c>
      <c r="K41" s="22">
        <v>29</v>
      </c>
      <c r="L41" s="22">
        <v>29</v>
      </c>
      <c r="M41" s="22"/>
      <c r="N41" s="62"/>
    </row>
    <row r="42" spans="2:14" x14ac:dyDescent="0.2">
      <c r="B42" s="53" t="s">
        <v>128</v>
      </c>
      <c r="C42" s="22">
        <v>10</v>
      </c>
      <c r="D42" s="22">
        <v>10</v>
      </c>
      <c r="E42" s="22">
        <v>4</v>
      </c>
      <c r="F42" s="22" t="s">
        <v>109</v>
      </c>
      <c r="G42" s="22" t="s">
        <v>109</v>
      </c>
      <c r="H42" s="22">
        <v>5</v>
      </c>
      <c r="I42" s="22"/>
      <c r="J42" s="22" t="s">
        <v>109</v>
      </c>
      <c r="K42" s="22" t="s">
        <v>109</v>
      </c>
      <c r="L42" s="22" t="s">
        <v>109</v>
      </c>
      <c r="M42" s="22"/>
      <c r="N42" s="62"/>
    </row>
    <row r="43" spans="2:14" x14ac:dyDescent="0.2">
      <c r="B43" s="53"/>
      <c r="C43" s="22">
        <v>0</v>
      </c>
      <c r="D43" s="22">
        <v>0</v>
      </c>
      <c r="E43" s="22">
        <v>0</v>
      </c>
      <c r="F43" s="22">
        <v>4</v>
      </c>
      <c r="G43" s="22" t="s">
        <v>109</v>
      </c>
      <c r="H43" s="22" t="s">
        <v>109</v>
      </c>
      <c r="I43" s="22"/>
      <c r="N43" s="62"/>
    </row>
    <row r="44" spans="2:14" x14ac:dyDescent="0.2">
      <c r="B44" s="53"/>
      <c r="C44" s="22"/>
      <c r="D44" s="22"/>
      <c r="E44" s="22"/>
      <c r="F44" s="22"/>
      <c r="G44" s="22"/>
      <c r="H44" s="22"/>
      <c r="I44" s="22"/>
      <c r="N44" s="62"/>
    </row>
    <row r="45" spans="2:14" ht="14.25" x14ac:dyDescent="0.2">
      <c r="B45" s="96" t="s">
        <v>164</v>
      </c>
      <c r="C45" s="22"/>
      <c r="D45" s="22"/>
      <c r="E45" s="22"/>
      <c r="F45" s="22"/>
      <c r="G45" s="22"/>
      <c r="H45" s="23">
        <f>SUM(H46:H49)</f>
        <v>83</v>
      </c>
      <c r="I45" s="23"/>
      <c r="J45" s="23">
        <f>SUM(J46:J49)</f>
        <v>136</v>
      </c>
      <c r="K45" s="23">
        <f>SUM(K46:K49)</f>
        <v>64</v>
      </c>
      <c r="L45" s="23">
        <f>SUM(L46:L49)</f>
        <v>27</v>
      </c>
      <c r="M45" s="23"/>
      <c r="N45" s="62"/>
    </row>
    <row r="46" spans="2:14" ht="14.25" x14ac:dyDescent="0.2">
      <c r="B46" s="53" t="s">
        <v>39</v>
      </c>
      <c r="C46" s="109" t="s">
        <v>108</v>
      </c>
      <c r="D46" s="109" t="s">
        <v>108</v>
      </c>
      <c r="E46" s="109" t="s">
        <v>108</v>
      </c>
      <c r="F46" s="109" t="s">
        <v>108</v>
      </c>
      <c r="G46" s="109" t="s">
        <v>108</v>
      </c>
      <c r="H46" s="22">
        <v>6</v>
      </c>
      <c r="I46" s="22"/>
      <c r="J46" s="22">
        <v>6</v>
      </c>
      <c r="K46" s="22">
        <v>9</v>
      </c>
      <c r="L46" s="22">
        <v>13</v>
      </c>
      <c r="M46" s="22"/>
      <c r="N46" s="62"/>
    </row>
    <row r="47" spans="2:14" ht="14.25" x14ac:dyDescent="0.2">
      <c r="B47" s="53" t="s">
        <v>141</v>
      </c>
      <c r="C47" s="109" t="s">
        <v>108</v>
      </c>
      <c r="D47" s="109" t="s">
        <v>108</v>
      </c>
      <c r="E47" s="109" t="s">
        <v>108</v>
      </c>
      <c r="F47" s="109" t="s">
        <v>108</v>
      </c>
      <c r="G47" s="109" t="s">
        <v>108</v>
      </c>
      <c r="H47" s="149">
        <v>8</v>
      </c>
      <c r="I47" s="22"/>
      <c r="J47" s="149">
        <v>12</v>
      </c>
      <c r="K47" s="149">
        <v>10</v>
      </c>
      <c r="L47" s="149">
        <v>0</v>
      </c>
      <c r="M47" s="149"/>
      <c r="N47" s="62"/>
    </row>
    <row r="48" spans="2:14" ht="14.25" x14ac:dyDescent="0.2">
      <c r="B48" s="53" t="s">
        <v>142</v>
      </c>
      <c r="C48" s="109" t="s">
        <v>108</v>
      </c>
      <c r="D48" s="109" t="s">
        <v>108</v>
      </c>
      <c r="E48" s="109" t="s">
        <v>108</v>
      </c>
      <c r="F48" s="109" t="s">
        <v>108</v>
      </c>
      <c r="G48" s="109" t="s">
        <v>108</v>
      </c>
      <c r="H48" s="22">
        <v>42</v>
      </c>
      <c r="I48" s="22"/>
      <c r="J48" s="22">
        <v>101</v>
      </c>
      <c r="K48" s="22">
        <v>30</v>
      </c>
      <c r="L48" s="22">
        <v>0</v>
      </c>
      <c r="M48" s="22"/>
    </row>
    <row r="49" spans="1:19" ht="14.25" x14ac:dyDescent="0.2">
      <c r="B49" s="53" t="s">
        <v>144</v>
      </c>
      <c r="C49" s="109" t="s">
        <v>108</v>
      </c>
      <c r="D49" s="109" t="s">
        <v>108</v>
      </c>
      <c r="E49" s="109" t="s">
        <v>108</v>
      </c>
      <c r="F49" s="109" t="s">
        <v>108</v>
      </c>
      <c r="G49" s="109" t="s">
        <v>108</v>
      </c>
      <c r="H49" s="22">
        <v>27</v>
      </c>
      <c r="I49" s="22"/>
      <c r="J49" s="22">
        <v>17</v>
      </c>
      <c r="K49" s="22">
        <v>15</v>
      </c>
      <c r="L49" s="22">
        <v>14</v>
      </c>
      <c r="M49" s="22"/>
      <c r="N49" s="98">
        <f>(C13+C17+C22+C37+C51)</f>
        <v>1694</v>
      </c>
      <c r="O49" s="98">
        <f>(D13+D17+D22+D37+D51)</f>
        <v>1558</v>
      </c>
      <c r="P49" s="98">
        <f>(E13+E17+E22+E37+E51)</f>
        <v>1313</v>
      </c>
      <c r="Q49" s="98">
        <f>(F13+F17+F22+F37+F51)</f>
        <v>1650</v>
      </c>
      <c r="R49" s="98">
        <f>(H13+H17+H22+H37+H51)</f>
        <v>1122</v>
      </c>
      <c r="S49" s="98" t="s">
        <v>24</v>
      </c>
    </row>
    <row r="50" spans="1:19" x14ac:dyDescent="0.2">
      <c r="N50" s="62"/>
      <c r="O50" s="99">
        <f>((O49-N49)/N49)*100</f>
        <v>-8.0283353010625742</v>
      </c>
      <c r="P50" s="99">
        <f>((P49-O49)/O49)*100</f>
        <v>-15.725288831835687</v>
      </c>
      <c r="Q50" s="99">
        <f>((Q49-P49)/P49)*100</f>
        <v>25.666412795125666</v>
      </c>
      <c r="R50" s="99">
        <f>((R49-Q49)/Q49)*100</f>
        <v>-32</v>
      </c>
      <c r="S50" t="s">
        <v>138</v>
      </c>
    </row>
    <row r="51" spans="1:19" ht="14.25" x14ac:dyDescent="0.2">
      <c r="B51" s="96" t="s">
        <v>165</v>
      </c>
      <c r="C51" s="22">
        <v>929</v>
      </c>
      <c r="D51" s="22">
        <v>772</v>
      </c>
      <c r="E51" s="22">
        <v>543</v>
      </c>
      <c r="F51" s="23">
        <v>774</v>
      </c>
      <c r="G51" s="23">
        <v>760</v>
      </c>
      <c r="H51" s="23">
        <v>109</v>
      </c>
      <c r="I51" s="146">
        <v>5</v>
      </c>
      <c r="J51" s="23">
        <v>144</v>
      </c>
      <c r="K51" s="23">
        <v>106</v>
      </c>
      <c r="L51" s="23">
        <v>101</v>
      </c>
      <c r="M51" s="23"/>
      <c r="N51" s="62"/>
    </row>
    <row r="52" spans="1:19" x14ac:dyDescent="0.2">
      <c r="B52" s="95"/>
      <c r="C52" s="93"/>
      <c r="D52" s="93"/>
      <c r="E52" s="93"/>
      <c r="F52" s="93"/>
      <c r="G52" s="71"/>
      <c r="H52" s="71"/>
      <c r="I52" s="71"/>
      <c r="J52" s="71"/>
      <c r="K52" s="2"/>
      <c r="L52" s="2"/>
      <c r="M52" s="2"/>
      <c r="N52" s="62"/>
    </row>
    <row r="53" spans="1:19" x14ac:dyDescent="0.2">
      <c r="B53" s="70" t="s">
        <v>118</v>
      </c>
      <c r="C53" s="97"/>
      <c r="D53" s="97"/>
      <c r="E53" s="97"/>
      <c r="F53" s="97"/>
      <c r="G53" s="73"/>
      <c r="H53" s="73"/>
      <c r="I53" s="73"/>
      <c r="J53" s="73"/>
      <c r="K53" s="73"/>
      <c r="L53" s="73"/>
      <c r="M53" s="62"/>
      <c r="N53" s="62"/>
    </row>
    <row r="54" spans="1:19" ht="14.25" x14ac:dyDescent="0.2">
      <c r="A54" s="57">
        <v>1</v>
      </c>
      <c r="B54" t="s">
        <v>152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62"/>
      <c r="N54" s="62"/>
    </row>
    <row r="55" spans="1:19" ht="14.25" x14ac:dyDescent="0.2">
      <c r="A55" s="57"/>
      <c r="B55" t="s">
        <v>151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62"/>
      <c r="N55" s="62"/>
    </row>
    <row r="56" spans="1:19" ht="14.25" x14ac:dyDescent="0.2">
      <c r="A56" s="57">
        <v>2</v>
      </c>
      <c r="B56" s="54" t="s">
        <v>135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62"/>
      <c r="N56" s="62"/>
    </row>
    <row r="57" spans="1:19" ht="14.25" x14ac:dyDescent="0.2">
      <c r="A57" s="57">
        <v>3</v>
      </c>
      <c r="B57" t="s">
        <v>146</v>
      </c>
      <c r="C57" s="65"/>
      <c r="D57" s="28"/>
      <c r="E57" s="28"/>
      <c r="F57" s="28"/>
      <c r="G57" s="28"/>
      <c r="H57" s="28"/>
      <c r="I57" s="28"/>
      <c r="J57" s="28"/>
      <c r="K57" s="28"/>
      <c r="L57" s="28"/>
      <c r="M57" s="62"/>
      <c r="N57" s="62"/>
      <c r="Q57" s="18"/>
    </row>
    <row r="58" spans="1:19" ht="26.25" customHeight="1" x14ac:dyDescent="0.2">
      <c r="A58" s="148">
        <v>4</v>
      </c>
      <c r="B58" s="397" t="s">
        <v>170</v>
      </c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62"/>
      <c r="N58" s="62"/>
      <c r="Q58" s="18"/>
    </row>
    <row r="59" spans="1:19" ht="14.25" x14ac:dyDescent="0.2">
      <c r="A59" s="57">
        <v>5</v>
      </c>
      <c r="B59" s="15" t="s">
        <v>171</v>
      </c>
      <c r="D59" s="65"/>
      <c r="E59" s="65"/>
      <c r="F59" s="65"/>
      <c r="G59" s="65"/>
      <c r="H59" s="65"/>
      <c r="I59" s="65"/>
      <c r="J59" s="65"/>
      <c r="K59" s="65"/>
      <c r="L59" s="65"/>
      <c r="M59" s="62"/>
      <c r="N59" s="62"/>
    </row>
    <row r="60" spans="1:19" ht="14.25" x14ac:dyDescent="0.2">
      <c r="A60" s="57"/>
      <c r="C60" s="28"/>
      <c r="D60" s="28"/>
      <c r="E60" s="28"/>
      <c r="F60" s="28"/>
      <c r="G60" s="69"/>
      <c r="H60" s="69"/>
      <c r="I60" s="69"/>
      <c r="J60" s="69"/>
      <c r="K60" s="69"/>
      <c r="L60" s="69"/>
      <c r="M60" s="62"/>
      <c r="N60" s="62"/>
    </row>
    <row r="61" spans="1:19" x14ac:dyDescent="0.2">
      <c r="B61" s="151" t="s">
        <v>176</v>
      </c>
      <c r="C61" s="68"/>
      <c r="D61" s="68"/>
      <c r="G61" s="69"/>
      <c r="H61" s="69"/>
      <c r="I61" s="69"/>
      <c r="J61" s="69"/>
      <c r="K61" s="69"/>
      <c r="L61" s="69"/>
      <c r="M61" s="62"/>
      <c r="N61" s="62"/>
    </row>
    <row r="62" spans="1:19" x14ac:dyDescent="0.2">
      <c r="B62" s="59"/>
      <c r="C62" s="68"/>
      <c r="D62" s="68"/>
      <c r="G62" s="69"/>
      <c r="H62" s="69"/>
      <c r="I62" s="69"/>
      <c r="J62" s="69"/>
      <c r="K62" s="69"/>
      <c r="L62" s="69"/>
      <c r="M62" s="62"/>
      <c r="N62" s="62"/>
    </row>
    <row r="63" spans="1:19" x14ac:dyDescent="0.2">
      <c r="B63" s="59"/>
      <c r="C63" s="68"/>
      <c r="D63" s="68"/>
      <c r="G63" s="69"/>
      <c r="H63" s="69"/>
      <c r="I63" s="69"/>
      <c r="J63" s="69"/>
      <c r="K63" s="69"/>
      <c r="L63" s="69"/>
      <c r="M63" s="62"/>
      <c r="N63" s="62"/>
    </row>
    <row r="64" spans="1:19" ht="14.25" x14ac:dyDescent="0.2">
      <c r="C64" s="65"/>
      <c r="D64" s="65"/>
      <c r="E64" s="65"/>
      <c r="F64" s="65"/>
      <c r="G64" s="69"/>
      <c r="H64" s="69"/>
      <c r="I64" s="69"/>
      <c r="J64" s="69"/>
      <c r="K64" s="69"/>
      <c r="L64" s="69"/>
      <c r="M64" s="62"/>
      <c r="N64" s="62"/>
    </row>
    <row r="65" spans="1:14" x14ac:dyDescent="0.2">
      <c r="B65" s="18"/>
      <c r="C65" s="68"/>
      <c r="D65" s="68"/>
      <c r="M65" s="62"/>
      <c r="N65" s="62"/>
    </row>
    <row r="66" spans="1:14" outlineLevel="1" x14ac:dyDescent="0.2">
      <c r="M66" s="18"/>
    </row>
    <row r="67" spans="1:14" x14ac:dyDescent="0.2">
      <c r="A67" s="11"/>
      <c r="B67" s="11"/>
      <c r="C67" s="11"/>
      <c r="D67" s="11"/>
      <c r="E67" s="11"/>
      <c r="F67" s="37"/>
      <c r="G67" s="37"/>
      <c r="H67" s="37"/>
      <c r="I67" s="37"/>
      <c r="J67" s="37"/>
      <c r="K67" s="37"/>
      <c r="L67" s="37"/>
      <c r="M67" s="63"/>
      <c r="N67" s="63"/>
    </row>
    <row r="68" spans="1:14" s="58" customFormat="1" ht="9" customHeight="1" x14ac:dyDescent="0.2"/>
    <row r="69" spans="1:14" x14ac:dyDescent="0.2">
      <c r="A69" s="394" t="e">
        <f>'Rec Exp work(.05)'!B72:X72+1</f>
        <v>#VALUE!</v>
      </c>
      <c r="B69" s="394"/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60"/>
    </row>
  </sheetData>
  <mergeCells count="4">
    <mergeCell ref="B8:L8"/>
    <mergeCell ref="A69:L69"/>
    <mergeCell ref="C4:L4"/>
    <mergeCell ref="B58:L58"/>
  </mergeCells>
  <phoneticPr fontId="0" type="noConversion"/>
  <pageMargins left="0.9" right="0.9" top="1" bottom="1" header="0.52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323850</xdr:colOff>
                <xdr:row>0</xdr:row>
                <xdr:rowOff>152400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4:T79"/>
  <sheetViews>
    <sheetView view="pageBreakPreview" zoomScaleNormal="90" workbookViewId="0">
      <selection activeCell="N11" sqref="N11"/>
    </sheetView>
  </sheetViews>
  <sheetFormatPr defaultRowHeight="12.75" outlineLevelRow="1" outlineLevelCol="1" x14ac:dyDescent="0.2"/>
  <cols>
    <col min="1" max="1" width="6.42578125" customWidth="1"/>
    <col min="2" max="2" width="37.42578125" customWidth="1"/>
    <col min="3" max="4" width="7.7109375" hidden="1" customWidth="1" outlineLevel="1"/>
    <col min="5" max="5" width="7.7109375" hidden="1" customWidth="1"/>
    <col min="6" max="15" width="7.7109375" customWidth="1"/>
    <col min="16" max="16" width="7.42578125" customWidth="1"/>
  </cols>
  <sheetData>
    <row r="4" spans="1:18" ht="15" x14ac:dyDescent="0.25">
      <c r="K4" s="3"/>
      <c r="L4" s="3"/>
      <c r="M4" s="3"/>
      <c r="N4" s="3"/>
      <c r="O4" s="72" t="s">
        <v>111</v>
      </c>
    </row>
    <row r="5" spans="1:18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7" spans="1:18" ht="14.25" x14ac:dyDescent="0.2">
      <c r="B7" s="24"/>
    </row>
    <row r="8" spans="1:18" ht="18.75" x14ac:dyDescent="0.25">
      <c r="A8" s="31" t="s">
        <v>103</v>
      </c>
      <c r="B8" s="396" t="s">
        <v>136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</row>
    <row r="9" spans="1:18" ht="15.75" x14ac:dyDescent="0.25">
      <c r="A9" s="31"/>
      <c r="B9" s="13"/>
      <c r="C9" s="13"/>
      <c r="D9" s="11"/>
      <c r="E9" s="11"/>
      <c r="F9" s="11"/>
      <c r="G9" s="11"/>
      <c r="H9" s="11"/>
    </row>
    <row r="10" spans="1:18" x14ac:dyDescent="0.2">
      <c r="P10" s="19"/>
      <c r="Q10" s="19"/>
    </row>
    <row r="11" spans="1:18" x14ac:dyDescent="0.2">
      <c r="B11" s="8"/>
      <c r="C11" s="8">
        <v>1991</v>
      </c>
      <c r="D11" s="8">
        <v>1992</v>
      </c>
      <c r="E11" s="35">
        <v>1993</v>
      </c>
      <c r="F11" s="35">
        <v>1994</v>
      </c>
      <c r="G11" s="35">
        <v>1995</v>
      </c>
      <c r="H11" s="35">
        <v>1996</v>
      </c>
      <c r="I11" s="35">
        <v>1997</v>
      </c>
      <c r="J11" s="35">
        <v>1998</v>
      </c>
      <c r="K11" s="35">
        <v>1999</v>
      </c>
      <c r="L11" s="43">
        <v>2000</v>
      </c>
      <c r="M11" s="43">
        <v>2001</v>
      </c>
      <c r="N11" s="43">
        <v>2002</v>
      </c>
      <c r="O11" s="45">
        <v>2003</v>
      </c>
      <c r="P11" s="46"/>
      <c r="Q11" s="64"/>
      <c r="R11" s="64"/>
    </row>
    <row r="12" spans="1:18" x14ac:dyDescent="0.2">
      <c r="C12" s="39"/>
      <c r="D12" s="39"/>
      <c r="E12" s="40"/>
      <c r="F12" s="40"/>
      <c r="G12" s="40"/>
      <c r="H12" s="40"/>
      <c r="P12" s="19"/>
      <c r="Q12" s="19"/>
      <c r="R12" s="19"/>
    </row>
    <row r="13" spans="1:18" x14ac:dyDescent="0.2">
      <c r="B13" s="5" t="s">
        <v>42</v>
      </c>
      <c r="P13" s="19"/>
      <c r="Q13" s="19"/>
      <c r="R13" s="19"/>
    </row>
    <row r="14" spans="1:18" x14ac:dyDescent="0.2">
      <c r="P14" s="19"/>
      <c r="Q14" s="19"/>
      <c r="R14" s="19"/>
    </row>
    <row r="15" spans="1:18" ht="14.25" x14ac:dyDescent="0.2">
      <c r="B15" s="53" t="s">
        <v>35</v>
      </c>
      <c r="C15" s="16">
        <v>34</v>
      </c>
      <c r="D15" s="14">
        <v>36</v>
      </c>
      <c r="E15" s="14">
        <v>39</v>
      </c>
      <c r="F15" s="14">
        <v>37</v>
      </c>
      <c r="G15" s="67" t="s">
        <v>109</v>
      </c>
      <c r="H15" s="14">
        <v>24</v>
      </c>
      <c r="I15" s="14">
        <v>23</v>
      </c>
      <c r="J15" s="14">
        <v>31</v>
      </c>
      <c r="K15" s="14">
        <v>33</v>
      </c>
      <c r="L15" s="14">
        <v>34</v>
      </c>
      <c r="M15" s="14">
        <v>36</v>
      </c>
      <c r="N15" s="14">
        <v>56</v>
      </c>
      <c r="O15" s="14">
        <v>41</v>
      </c>
      <c r="P15" s="62"/>
      <c r="Q15" s="62"/>
      <c r="R15" s="62"/>
    </row>
    <row r="16" spans="1:18" x14ac:dyDescent="0.2">
      <c r="B16" s="51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P16" s="62"/>
      <c r="Q16" s="62"/>
      <c r="R16" s="62"/>
    </row>
    <row r="17" spans="2:18" hidden="1" x14ac:dyDescent="0.2">
      <c r="B17" s="52" t="s">
        <v>25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P17" s="62"/>
      <c r="Q17" s="62"/>
      <c r="R17" s="62"/>
    </row>
    <row r="18" spans="2:18" hidden="1" x14ac:dyDescent="0.2">
      <c r="B18" s="52" t="s">
        <v>26</v>
      </c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62"/>
      <c r="Q18" s="62"/>
      <c r="R18" s="62"/>
    </row>
    <row r="19" spans="2:18" x14ac:dyDescent="0.2">
      <c r="B19" s="53" t="s">
        <v>36</v>
      </c>
      <c r="C19" s="16">
        <v>24</v>
      </c>
      <c r="D19" s="14">
        <v>31</v>
      </c>
      <c r="E19" s="14">
        <v>35</v>
      </c>
      <c r="F19" s="14">
        <v>18</v>
      </c>
      <c r="G19" s="14">
        <v>5</v>
      </c>
      <c r="H19" s="14">
        <v>11</v>
      </c>
      <c r="I19" s="14">
        <v>16</v>
      </c>
      <c r="J19" s="14">
        <v>19</v>
      </c>
      <c r="K19" s="14">
        <v>11</v>
      </c>
      <c r="L19" s="14">
        <v>10</v>
      </c>
      <c r="M19" s="14">
        <v>17</v>
      </c>
      <c r="N19" s="14">
        <v>18</v>
      </c>
      <c r="O19" s="14">
        <v>17</v>
      </c>
      <c r="P19" s="62"/>
      <c r="Q19" s="62"/>
      <c r="R19" s="62"/>
    </row>
    <row r="20" spans="2:18" x14ac:dyDescent="0.2">
      <c r="B20" s="51"/>
      <c r="C20" s="1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P20" s="62"/>
      <c r="Q20" s="62"/>
      <c r="R20" s="62"/>
    </row>
    <row r="21" spans="2:18" hidden="1" x14ac:dyDescent="0.2">
      <c r="B21" s="52" t="s">
        <v>25</v>
      </c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P21" s="62"/>
      <c r="Q21" s="62"/>
      <c r="R21" s="62"/>
    </row>
    <row r="22" spans="2:18" hidden="1" x14ac:dyDescent="0.2">
      <c r="B22" s="52" t="s">
        <v>26</v>
      </c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62"/>
      <c r="Q22" s="62"/>
      <c r="R22" s="62"/>
    </row>
    <row r="23" spans="2:18" ht="14.25" x14ac:dyDescent="0.2">
      <c r="B23" s="53" t="s">
        <v>43</v>
      </c>
      <c r="C23" s="16">
        <v>36</v>
      </c>
      <c r="D23" s="14">
        <v>37</v>
      </c>
      <c r="E23" s="14">
        <v>33</v>
      </c>
      <c r="F23" s="14">
        <v>24</v>
      </c>
      <c r="G23" s="67" t="s">
        <v>109</v>
      </c>
      <c r="H23" s="14">
        <v>18</v>
      </c>
      <c r="I23" s="14">
        <v>18</v>
      </c>
      <c r="J23" s="14">
        <v>19</v>
      </c>
      <c r="K23" s="14">
        <v>18</v>
      </c>
      <c r="L23" s="14">
        <v>24</v>
      </c>
      <c r="M23" s="14">
        <v>25</v>
      </c>
      <c r="N23" s="14">
        <v>32</v>
      </c>
      <c r="O23" s="14">
        <v>36</v>
      </c>
      <c r="P23" s="62"/>
      <c r="Q23" s="62"/>
      <c r="R23" s="62"/>
    </row>
    <row r="24" spans="2:18" hidden="1" x14ac:dyDescent="0.2">
      <c r="B24" s="6" t="s">
        <v>25</v>
      </c>
      <c r="C24" s="16"/>
      <c r="D24" s="16"/>
      <c r="E24" s="32"/>
      <c r="F24" s="16"/>
      <c r="G24" s="16"/>
      <c r="H24" s="16"/>
      <c r="I24" s="16"/>
      <c r="J24" s="16"/>
      <c r="K24" s="16"/>
      <c r="L24" s="16"/>
      <c r="P24" s="62"/>
      <c r="Q24" s="62"/>
      <c r="R24" s="62"/>
    </row>
    <row r="25" spans="2:18" hidden="1" x14ac:dyDescent="0.2">
      <c r="B25" s="6" t="s">
        <v>26</v>
      </c>
      <c r="C25" s="16"/>
      <c r="D25" s="16"/>
      <c r="E25" s="32"/>
      <c r="F25" s="16"/>
      <c r="G25" s="16"/>
      <c r="H25" s="16"/>
      <c r="I25" s="16"/>
      <c r="J25" s="16"/>
      <c r="K25" s="16"/>
      <c r="L25" s="16"/>
      <c r="P25" s="62"/>
      <c r="Q25" s="62"/>
      <c r="R25" s="62"/>
    </row>
    <row r="26" spans="2:18" x14ac:dyDescent="0.2">
      <c r="B26" s="6"/>
      <c r="C26" s="16"/>
      <c r="D26" s="16"/>
      <c r="E26" s="32"/>
      <c r="F26" s="16"/>
      <c r="G26" s="16"/>
      <c r="H26" s="16"/>
      <c r="I26" s="16"/>
      <c r="J26" s="16"/>
      <c r="K26" s="16"/>
      <c r="L26" s="16"/>
      <c r="P26" s="62"/>
      <c r="Q26" s="62"/>
      <c r="R26" s="62"/>
    </row>
    <row r="27" spans="2:18" x14ac:dyDescent="0.2">
      <c r="B27" s="18"/>
      <c r="C27" s="16"/>
      <c r="D27" s="16"/>
      <c r="E27" s="32"/>
      <c r="F27" s="16"/>
      <c r="G27" s="16"/>
      <c r="H27" s="16"/>
      <c r="I27" s="16"/>
      <c r="J27" s="16"/>
      <c r="K27" s="16"/>
      <c r="L27" s="16"/>
      <c r="P27" s="62"/>
      <c r="Q27" s="62"/>
      <c r="R27" s="62"/>
    </row>
    <row r="28" spans="2:18" x14ac:dyDescent="0.2">
      <c r="B28" s="36" t="s">
        <v>44</v>
      </c>
      <c r="C28" s="16"/>
      <c r="D28" s="16"/>
      <c r="E28" s="32"/>
      <c r="F28" s="16"/>
      <c r="G28" s="16"/>
      <c r="H28" s="16"/>
      <c r="I28" s="16"/>
      <c r="J28" s="16"/>
      <c r="K28" s="16"/>
      <c r="L28" s="16"/>
      <c r="P28" s="62"/>
      <c r="Q28" s="62"/>
      <c r="R28" s="62"/>
    </row>
    <row r="29" spans="2:18" x14ac:dyDescent="0.2">
      <c r="B29" s="18"/>
      <c r="C29" s="16"/>
      <c r="D29" s="16"/>
      <c r="E29" s="32"/>
      <c r="F29" s="16"/>
      <c r="G29" s="16"/>
      <c r="H29" s="16"/>
      <c r="I29" s="16"/>
      <c r="J29" s="16"/>
      <c r="K29" s="16"/>
      <c r="L29" s="16"/>
      <c r="P29" s="62"/>
      <c r="Q29" s="62"/>
      <c r="R29" s="62"/>
    </row>
    <row r="30" spans="2:18" ht="14.25" x14ac:dyDescent="0.2">
      <c r="B30" s="74" t="s">
        <v>45</v>
      </c>
      <c r="C30" s="66" t="s">
        <v>109</v>
      </c>
      <c r="D30" s="66" t="s">
        <v>109</v>
      </c>
      <c r="E30" s="33">
        <f>SUM(E31:E32)</f>
        <v>0</v>
      </c>
      <c r="F30" s="28">
        <f>SUM(F31:F32)</f>
        <v>45</v>
      </c>
      <c r="G30" s="28">
        <f>SUM(G31:G32)</f>
        <v>33</v>
      </c>
      <c r="H30" s="28">
        <f>SUM(H31:H32)</f>
        <v>5</v>
      </c>
      <c r="I30" s="28">
        <f>SUM(I31:I32)</f>
        <v>6</v>
      </c>
      <c r="J30" s="67" t="s">
        <v>109</v>
      </c>
      <c r="K30" s="67" t="s">
        <v>109</v>
      </c>
      <c r="L30" s="67" t="s">
        <v>109</v>
      </c>
      <c r="M30" s="67" t="s">
        <v>109</v>
      </c>
      <c r="N30" s="67" t="s">
        <v>109</v>
      </c>
      <c r="O30" s="67" t="s">
        <v>109</v>
      </c>
      <c r="P30" s="62"/>
      <c r="Q30" s="62"/>
      <c r="R30" s="62"/>
    </row>
    <row r="31" spans="2:18" ht="14.25" x14ac:dyDescent="0.2">
      <c r="B31" s="48" t="s">
        <v>46</v>
      </c>
      <c r="C31" s="66" t="s">
        <v>109</v>
      </c>
      <c r="D31" s="66" t="s">
        <v>109</v>
      </c>
      <c r="E31" s="32">
        <v>0</v>
      </c>
      <c r="F31" s="16">
        <v>43</v>
      </c>
      <c r="G31" s="16">
        <v>31</v>
      </c>
      <c r="H31" s="16">
        <v>3</v>
      </c>
      <c r="I31" s="16">
        <v>3</v>
      </c>
      <c r="J31" s="65" t="s">
        <v>108</v>
      </c>
      <c r="K31" s="65" t="s">
        <v>108</v>
      </c>
      <c r="L31" s="65" t="s">
        <v>108</v>
      </c>
      <c r="M31" s="65" t="s">
        <v>108</v>
      </c>
      <c r="N31" s="65" t="s">
        <v>108</v>
      </c>
      <c r="O31" s="65" t="s">
        <v>108</v>
      </c>
      <c r="P31" s="62"/>
      <c r="Q31" s="62"/>
      <c r="R31" s="62"/>
    </row>
    <row r="32" spans="2:18" ht="14.25" x14ac:dyDescent="0.2">
      <c r="B32" s="48" t="s">
        <v>47</v>
      </c>
      <c r="C32" s="66" t="s">
        <v>109</v>
      </c>
      <c r="D32" s="66" t="s">
        <v>109</v>
      </c>
      <c r="E32" s="32">
        <v>0</v>
      </c>
      <c r="F32" s="16">
        <v>2</v>
      </c>
      <c r="G32" s="16">
        <v>2</v>
      </c>
      <c r="H32" s="16">
        <v>2</v>
      </c>
      <c r="I32" s="16">
        <v>3</v>
      </c>
      <c r="J32" s="65" t="s">
        <v>108</v>
      </c>
      <c r="K32" s="65" t="s">
        <v>108</v>
      </c>
      <c r="L32" s="65" t="s">
        <v>108</v>
      </c>
      <c r="M32" s="65" t="s">
        <v>108</v>
      </c>
      <c r="N32" s="65" t="s">
        <v>108</v>
      </c>
      <c r="O32" s="65" t="s">
        <v>108</v>
      </c>
      <c r="P32" s="62"/>
      <c r="Q32" s="62"/>
      <c r="R32" s="62"/>
    </row>
    <row r="33" spans="2:20" ht="14.25" x14ac:dyDescent="0.2">
      <c r="B33" s="74" t="s">
        <v>34</v>
      </c>
      <c r="C33" s="75" t="s">
        <v>109</v>
      </c>
      <c r="D33" s="75" t="s">
        <v>109</v>
      </c>
      <c r="E33" s="33">
        <f t="shared" ref="E33:O33" si="0">SUM(E34:E35)</f>
        <v>0</v>
      </c>
      <c r="F33" s="67" t="s">
        <v>109</v>
      </c>
      <c r="G33" s="67" t="s">
        <v>109</v>
      </c>
      <c r="H33" s="28">
        <f t="shared" si="0"/>
        <v>92</v>
      </c>
      <c r="I33" s="28">
        <f t="shared" si="0"/>
        <v>154</v>
      </c>
      <c r="J33" s="28">
        <f t="shared" si="0"/>
        <v>157</v>
      </c>
      <c r="K33" s="28">
        <f t="shared" si="0"/>
        <v>224</v>
      </c>
      <c r="L33" s="28">
        <f t="shared" si="0"/>
        <v>318</v>
      </c>
      <c r="M33" s="28">
        <f t="shared" si="0"/>
        <v>391</v>
      </c>
      <c r="N33" s="28">
        <f t="shared" si="0"/>
        <v>391</v>
      </c>
      <c r="O33" s="28">
        <f t="shared" si="0"/>
        <v>426</v>
      </c>
      <c r="P33" s="62"/>
      <c r="Q33" s="62"/>
      <c r="R33" s="62"/>
    </row>
    <row r="34" spans="2:20" x14ac:dyDescent="0.2">
      <c r="B34" s="48" t="s">
        <v>46</v>
      </c>
      <c r="C34" s="16"/>
      <c r="D34" s="16"/>
      <c r="E34" s="32"/>
      <c r="F34" s="16"/>
      <c r="G34" s="16"/>
      <c r="H34" s="16">
        <v>44</v>
      </c>
      <c r="I34" s="16">
        <v>60</v>
      </c>
      <c r="J34" s="16">
        <v>69</v>
      </c>
      <c r="K34" s="16">
        <v>88</v>
      </c>
      <c r="L34" s="16">
        <v>152</v>
      </c>
      <c r="M34" s="16">
        <v>242</v>
      </c>
      <c r="N34" s="16">
        <v>215</v>
      </c>
      <c r="O34" s="16">
        <v>243</v>
      </c>
      <c r="P34" s="62"/>
      <c r="Q34" s="62"/>
      <c r="R34" s="62"/>
    </row>
    <row r="35" spans="2:20" x14ac:dyDescent="0.2">
      <c r="B35" s="48" t="s">
        <v>47</v>
      </c>
      <c r="C35" s="16"/>
      <c r="D35" s="16"/>
      <c r="E35" s="32"/>
      <c r="F35" s="16"/>
      <c r="G35" s="16"/>
      <c r="H35" s="16">
        <v>48</v>
      </c>
      <c r="I35" s="16">
        <v>94</v>
      </c>
      <c r="J35" s="16">
        <v>88</v>
      </c>
      <c r="K35" s="16">
        <v>136</v>
      </c>
      <c r="L35" s="16">
        <v>166</v>
      </c>
      <c r="M35" s="16">
        <v>149</v>
      </c>
      <c r="N35" s="16">
        <v>176</v>
      </c>
      <c r="O35" s="16">
        <v>183</v>
      </c>
      <c r="P35" s="62"/>
      <c r="Q35" s="62"/>
      <c r="R35" s="62"/>
    </row>
    <row r="36" spans="2:20" x14ac:dyDescent="0.2">
      <c r="B36" s="18"/>
      <c r="C36" s="16"/>
      <c r="D36" s="16"/>
      <c r="E36" s="32"/>
      <c r="F36" s="16"/>
      <c r="G36" s="16"/>
      <c r="H36" s="16"/>
      <c r="I36" s="16"/>
      <c r="J36" s="16"/>
      <c r="K36" s="16"/>
      <c r="L36" s="16"/>
      <c r="P36" s="62"/>
      <c r="Q36" s="62"/>
      <c r="R36" s="62"/>
    </row>
    <row r="37" spans="2:20" x14ac:dyDescent="0.2">
      <c r="B37" s="18"/>
      <c r="C37" s="16"/>
      <c r="D37" s="16"/>
      <c r="E37" s="32"/>
      <c r="F37" s="16"/>
      <c r="G37" s="16"/>
      <c r="H37" s="16"/>
      <c r="I37" s="16"/>
      <c r="J37" s="16"/>
      <c r="K37" s="16"/>
      <c r="L37" s="16"/>
      <c r="P37" s="62"/>
      <c r="Q37" s="62"/>
      <c r="R37" s="62"/>
    </row>
    <row r="38" spans="2:20" x14ac:dyDescent="0.2">
      <c r="B38" s="36" t="s">
        <v>48</v>
      </c>
      <c r="C38" s="28">
        <f t="shared" ref="C38:N38" si="1">SUM(C40:C50)</f>
        <v>98</v>
      </c>
      <c r="D38" s="28">
        <f t="shared" si="1"/>
        <v>93</v>
      </c>
      <c r="E38" s="28">
        <f t="shared" si="1"/>
        <v>84</v>
      </c>
      <c r="F38" s="28">
        <f t="shared" si="1"/>
        <v>81</v>
      </c>
      <c r="G38" s="28">
        <f t="shared" si="1"/>
        <v>111</v>
      </c>
      <c r="H38" s="28">
        <f t="shared" si="1"/>
        <v>35</v>
      </c>
      <c r="I38" s="28">
        <f t="shared" si="1"/>
        <v>29</v>
      </c>
      <c r="J38" s="28">
        <f t="shared" si="1"/>
        <v>68</v>
      </c>
      <c r="K38" s="28">
        <f t="shared" si="1"/>
        <v>61</v>
      </c>
      <c r="L38" s="28">
        <f t="shared" si="1"/>
        <v>157</v>
      </c>
      <c r="M38" s="28">
        <f t="shared" si="1"/>
        <v>111</v>
      </c>
      <c r="N38" s="28">
        <f t="shared" si="1"/>
        <v>89</v>
      </c>
      <c r="O38" s="28">
        <f>SUM(O40:O50)</f>
        <v>118</v>
      </c>
      <c r="P38" s="62"/>
      <c r="Q38" s="62"/>
      <c r="R38" s="62"/>
    </row>
    <row r="39" spans="2:20" x14ac:dyDescent="0.2">
      <c r="B39" s="18"/>
      <c r="C39" s="16"/>
      <c r="D39" s="16"/>
      <c r="E39" s="32"/>
      <c r="F39" s="16"/>
      <c r="G39" s="16"/>
      <c r="H39" s="16"/>
      <c r="I39" s="16"/>
      <c r="J39" s="16"/>
      <c r="K39" s="16"/>
      <c r="L39" s="16"/>
      <c r="P39" s="62"/>
      <c r="Q39" s="62"/>
      <c r="R39" s="62"/>
    </row>
    <row r="40" spans="2:20" ht="14.25" x14ac:dyDescent="0.2">
      <c r="B40" s="52" t="s">
        <v>49</v>
      </c>
      <c r="C40" s="16">
        <v>50</v>
      </c>
      <c r="D40" s="16">
        <v>39</v>
      </c>
      <c r="E40" s="32">
        <v>27</v>
      </c>
      <c r="F40" s="16">
        <v>26</v>
      </c>
      <c r="G40" s="16">
        <v>38</v>
      </c>
      <c r="H40" s="65" t="s">
        <v>108</v>
      </c>
      <c r="I40" s="16">
        <v>14</v>
      </c>
      <c r="J40" s="16">
        <v>6</v>
      </c>
      <c r="K40" s="65" t="s">
        <v>108</v>
      </c>
      <c r="L40" s="65" t="s">
        <v>108</v>
      </c>
      <c r="M40" s="65" t="s">
        <v>108</v>
      </c>
      <c r="N40" s="65" t="s">
        <v>108</v>
      </c>
      <c r="O40" s="65" t="s">
        <v>108</v>
      </c>
      <c r="P40" s="62"/>
      <c r="Q40" s="62"/>
      <c r="R40" s="62"/>
    </row>
    <row r="41" spans="2:20" x14ac:dyDescent="0.2">
      <c r="B41" s="52" t="s">
        <v>50</v>
      </c>
      <c r="C41" s="16">
        <v>48</v>
      </c>
      <c r="D41" s="16">
        <v>54</v>
      </c>
      <c r="E41" s="32">
        <v>50</v>
      </c>
      <c r="F41" s="16">
        <v>43</v>
      </c>
      <c r="G41" s="16">
        <v>54</v>
      </c>
      <c r="H41" s="16">
        <v>30</v>
      </c>
      <c r="I41" s="16">
        <v>15</v>
      </c>
      <c r="J41" s="16">
        <v>33</v>
      </c>
      <c r="K41" s="16">
        <v>37</v>
      </c>
      <c r="L41" s="16">
        <v>61</v>
      </c>
      <c r="M41" s="16">
        <v>60</v>
      </c>
      <c r="N41" s="16">
        <v>58</v>
      </c>
      <c r="O41" s="16">
        <v>48</v>
      </c>
      <c r="P41" s="62"/>
      <c r="Q41" s="62"/>
      <c r="R41" s="62"/>
    </row>
    <row r="42" spans="2:20" ht="14.25" x14ac:dyDescent="0.2">
      <c r="B42" s="52" t="s">
        <v>51</v>
      </c>
      <c r="C42" s="65" t="s">
        <v>108</v>
      </c>
      <c r="D42" s="65" t="s">
        <v>108</v>
      </c>
      <c r="E42" s="32">
        <v>7</v>
      </c>
      <c r="F42" s="16">
        <v>12</v>
      </c>
      <c r="G42" s="16">
        <v>5</v>
      </c>
      <c r="H42" s="16">
        <v>5</v>
      </c>
      <c r="I42" s="67" t="s">
        <v>109</v>
      </c>
      <c r="J42" s="67" t="s">
        <v>109</v>
      </c>
      <c r="K42" s="67" t="s">
        <v>109</v>
      </c>
      <c r="L42" s="67" t="s">
        <v>109</v>
      </c>
      <c r="M42" s="67" t="s">
        <v>109</v>
      </c>
      <c r="N42" s="67" t="s">
        <v>109</v>
      </c>
      <c r="O42" s="67" t="s">
        <v>109</v>
      </c>
      <c r="P42" s="67"/>
      <c r="Q42" s="67"/>
      <c r="R42" s="67"/>
      <c r="S42" s="67"/>
      <c r="T42" s="67"/>
    </row>
    <row r="43" spans="2:20" ht="14.25" x14ac:dyDescent="0.2">
      <c r="B43" s="52" t="s">
        <v>52</v>
      </c>
      <c r="C43" s="65" t="s">
        <v>108</v>
      </c>
      <c r="D43" s="65" t="s">
        <v>108</v>
      </c>
      <c r="E43" s="32"/>
      <c r="F43" s="16"/>
      <c r="G43" s="16">
        <v>14</v>
      </c>
      <c r="H43" s="66" t="s">
        <v>109</v>
      </c>
      <c r="I43" s="66" t="s">
        <v>109</v>
      </c>
      <c r="J43" s="16">
        <v>17</v>
      </c>
      <c r="K43" s="16">
        <v>24</v>
      </c>
      <c r="L43" s="16">
        <v>39</v>
      </c>
      <c r="M43" s="16">
        <v>24</v>
      </c>
      <c r="N43" s="16">
        <v>31</v>
      </c>
      <c r="O43" s="16">
        <v>17</v>
      </c>
      <c r="P43" s="62"/>
      <c r="Q43" s="62"/>
      <c r="R43" s="62"/>
    </row>
    <row r="44" spans="2:20" ht="14.25" x14ac:dyDescent="0.2">
      <c r="B44" s="52" t="s">
        <v>96</v>
      </c>
      <c r="C44" s="65" t="s">
        <v>108</v>
      </c>
      <c r="D44" s="65" t="s">
        <v>108</v>
      </c>
      <c r="E44" s="32"/>
      <c r="F44" s="16"/>
      <c r="G44" s="16"/>
      <c r="H44" s="65" t="s">
        <v>108</v>
      </c>
      <c r="I44" s="65" t="s">
        <v>108</v>
      </c>
      <c r="J44" s="65" t="s">
        <v>108</v>
      </c>
      <c r="K44" s="65" t="s">
        <v>108</v>
      </c>
      <c r="L44" s="16">
        <v>24</v>
      </c>
      <c r="M44" s="16">
        <v>12</v>
      </c>
      <c r="N44" s="65" t="s">
        <v>108</v>
      </c>
      <c r="O44" s="65" t="s">
        <v>108</v>
      </c>
      <c r="P44" s="62"/>
      <c r="Q44" s="62"/>
      <c r="R44" s="62"/>
    </row>
    <row r="45" spans="2:20" ht="14.25" x14ac:dyDescent="0.2">
      <c r="B45" s="52" t="s">
        <v>97</v>
      </c>
      <c r="C45" s="65" t="s">
        <v>108</v>
      </c>
      <c r="D45" s="65" t="s">
        <v>108</v>
      </c>
      <c r="E45" s="32"/>
      <c r="F45" s="16"/>
      <c r="G45" s="16"/>
      <c r="H45" s="65" t="s">
        <v>108</v>
      </c>
      <c r="I45" s="65" t="s">
        <v>108</v>
      </c>
      <c r="J45" s="65" t="s">
        <v>108</v>
      </c>
      <c r="K45" s="65" t="s">
        <v>108</v>
      </c>
      <c r="L45" s="16">
        <v>15</v>
      </c>
      <c r="M45" s="16">
        <v>8</v>
      </c>
      <c r="N45" s="65" t="s">
        <v>108</v>
      </c>
      <c r="O45" s="65" t="s">
        <v>108</v>
      </c>
      <c r="P45" s="62"/>
      <c r="Q45" s="62"/>
      <c r="R45" s="62"/>
    </row>
    <row r="46" spans="2:20" ht="14.25" x14ac:dyDescent="0.2">
      <c r="B46" s="52" t="s">
        <v>115</v>
      </c>
      <c r="C46" s="65" t="s">
        <v>108</v>
      </c>
      <c r="D46" s="65" t="s">
        <v>108</v>
      </c>
      <c r="E46" s="32"/>
      <c r="F46" s="16"/>
      <c r="G46" s="16"/>
      <c r="H46" s="65" t="s">
        <v>108</v>
      </c>
      <c r="I46" s="65" t="s">
        <v>108</v>
      </c>
      <c r="J46" s="65" t="s">
        <v>108</v>
      </c>
      <c r="K46" s="65" t="s">
        <v>108</v>
      </c>
      <c r="L46" s="16">
        <v>18</v>
      </c>
      <c r="M46" s="16">
        <v>7</v>
      </c>
      <c r="N46" s="65" t="s">
        <v>108</v>
      </c>
      <c r="O46" s="16">
        <v>19</v>
      </c>
      <c r="P46" s="62"/>
      <c r="Q46" s="62"/>
      <c r="R46" s="62"/>
    </row>
    <row r="47" spans="2:20" ht="14.25" x14ac:dyDescent="0.2">
      <c r="B47" s="52" t="s">
        <v>116</v>
      </c>
      <c r="C47" s="65" t="s">
        <v>108</v>
      </c>
      <c r="D47" s="65" t="s">
        <v>108</v>
      </c>
      <c r="E47" s="32"/>
      <c r="F47" s="16"/>
      <c r="G47" s="16"/>
      <c r="H47" s="65" t="s">
        <v>108</v>
      </c>
      <c r="I47" s="65" t="s">
        <v>108</v>
      </c>
      <c r="J47" s="16">
        <v>12</v>
      </c>
      <c r="K47" s="67" t="s">
        <v>109</v>
      </c>
      <c r="L47" s="67" t="s">
        <v>109</v>
      </c>
      <c r="M47" s="67" t="s">
        <v>109</v>
      </c>
      <c r="N47" s="67" t="s">
        <v>109</v>
      </c>
      <c r="O47" s="67" t="s">
        <v>109</v>
      </c>
      <c r="P47" s="67"/>
      <c r="Q47" s="62"/>
      <c r="R47" s="62"/>
    </row>
    <row r="48" spans="2:20" ht="14.25" x14ac:dyDescent="0.2">
      <c r="B48" s="52" t="s">
        <v>102</v>
      </c>
      <c r="C48" s="65" t="s">
        <v>108</v>
      </c>
      <c r="D48" s="65" t="s">
        <v>108</v>
      </c>
      <c r="E48" s="32"/>
      <c r="F48" s="16"/>
      <c r="G48" s="16"/>
      <c r="H48" s="65" t="s">
        <v>108</v>
      </c>
      <c r="I48" s="65" t="s">
        <v>108</v>
      </c>
      <c r="J48" s="65" t="s">
        <v>108</v>
      </c>
      <c r="K48" s="65" t="s">
        <v>108</v>
      </c>
      <c r="L48" s="65" t="s">
        <v>108</v>
      </c>
      <c r="M48" s="65" t="s">
        <v>108</v>
      </c>
      <c r="N48" s="65" t="s">
        <v>108</v>
      </c>
      <c r="O48" s="16">
        <v>12</v>
      </c>
      <c r="P48" s="62"/>
      <c r="Q48" s="62"/>
      <c r="R48" s="62"/>
    </row>
    <row r="49" spans="1:18" ht="14.25" x14ac:dyDescent="0.2">
      <c r="B49" s="52" t="s">
        <v>104</v>
      </c>
      <c r="C49" s="65" t="s">
        <v>108</v>
      </c>
      <c r="D49" s="65" t="s">
        <v>108</v>
      </c>
      <c r="E49" s="32"/>
      <c r="F49" s="16"/>
      <c r="G49" s="16"/>
      <c r="H49" s="65" t="s">
        <v>108</v>
      </c>
      <c r="I49" s="65" t="s">
        <v>108</v>
      </c>
      <c r="J49" s="65" t="s">
        <v>108</v>
      </c>
      <c r="K49" s="65" t="s">
        <v>108</v>
      </c>
      <c r="L49" s="65" t="s">
        <v>108</v>
      </c>
      <c r="M49" s="65" t="s">
        <v>108</v>
      </c>
      <c r="N49" s="65" t="s">
        <v>108</v>
      </c>
      <c r="O49" s="16">
        <v>15</v>
      </c>
      <c r="P49" s="62"/>
      <c r="Q49" s="62"/>
      <c r="R49" s="62"/>
    </row>
    <row r="50" spans="1:18" ht="14.25" x14ac:dyDescent="0.2">
      <c r="B50" s="52" t="s">
        <v>105</v>
      </c>
      <c r="C50" s="65" t="s">
        <v>108</v>
      </c>
      <c r="D50" s="65" t="s">
        <v>108</v>
      </c>
      <c r="E50" s="32"/>
      <c r="F50" s="16"/>
      <c r="G50" s="16"/>
      <c r="H50" s="65" t="s">
        <v>108</v>
      </c>
      <c r="I50" s="65" t="s">
        <v>108</v>
      </c>
      <c r="J50" s="65" t="s">
        <v>108</v>
      </c>
      <c r="K50" s="65" t="s">
        <v>108</v>
      </c>
      <c r="L50" s="65" t="s">
        <v>108</v>
      </c>
      <c r="M50" s="65" t="s">
        <v>108</v>
      </c>
      <c r="N50" s="65" t="s">
        <v>108</v>
      </c>
      <c r="O50" s="16">
        <v>7</v>
      </c>
      <c r="P50" s="62"/>
      <c r="Q50" s="62"/>
      <c r="R50" s="62"/>
    </row>
    <row r="51" spans="1:18" x14ac:dyDescent="0.2">
      <c r="B51" s="18"/>
      <c r="C51" s="16"/>
      <c r="D51" s="16"/>
      <c r="E51" s="32"/>
      <c r="F51" s="16"/>
      <c r="G51" s="16"/>
      <c r="H51" s="16"/>
      <c r="I51" s="16"/>
      <c r="J51" s="16"/>
      <c r="K51" s="16"/>
      <c r="L51" s="16"/>
      <c r="P51" s="62"/>
      <c r="Q51" s="62"/>
      <c r="R51" s="62"/>
    </row>
    <row r="52" spans="1:18" x14ac:dyDescent="0.2">
      <c r="B52" s="36" t="s">
        <v>98</v>
      </c>
      <c r="C52" s="16"/>
      <c r="D52" s="16"/>
      <c r="E52" s="32"/>
      <c r="F52" s="16"/>
      <c r="G52" s="16"/>
      <c r="H52" s="16"/>
      <c r="I52" s="16"/>
      <c r="J52" s="16"/>
      <c r="K52" s="16"/>
      <c r="L52" s="16"/>
      <c r="P52" s="62"/>
      <c r="Q52" s="62"/>
      <c r="R52" s="62"/>
    </row>
    <row r="53" spans="1:18" ht="14.25" x14ac:dyDescent="0.2">
      <c r="B53" s="52" t="s">
        <v>53</v>
      </c>
      <c r="C53" s="16">
        <v>889</v>
      </c>
      <c r="D53" s="16">
        <v>1033</v>
      </c>
      <c r="E53" s="32">
        <v>756</v>
      </c>
      <c r="F53" s="16">
        <v>862</v>
      </c>
      <c r="G53" s="16">
        <v>757</v>
      </c>
      <c r="H53" s="16">
        <v>1183</v>
      </c>
      <c r="I53" s="16">
        <v>1437</v>
      </c>
      <c r="J53" s="16">
        <v>1827</v>
      </c>
      <c r="K53" s="16">
        <v>1591</v>
      </c>
      <c r="L53" s="16">
        <v>1537</v>
      </c>
      <c r="M53" s="16">
        <v>1532</v>
      </c>
      <c r="N53" s="16">
        <v>1181</v>
      </c>
      <c r="O53" s="67" t="s">
        <v>109</v>
      </c>
      <c r="P53" s="62"/>
      <c r="Q53" s="62"/>
      <c r="R53" s="62"/>
    </row>
    <row r="54" spans="1:18" x14ac:dyDescent="0.2">
      <c r="A54" s="19"/>
      <c r="B54" s="2"/>
      <c r="C54" s="2"/>
      <c r="D54" s="2"/>
      <c r="E54" s="47"/>
      <c r="F54" s="47"/>
      <c r="G54" s="47"/>
      <c r="H54" s="47"/>
      <c r="I54" s="2"/>
      <c r="J54" s="2"/>
      <c r="K54" s="2"/>
      <c r="L54" s="2"/>
      <c r="M54" s="2"/>
      <c r="N54" s="2"/>
      <c r="O54" s="2"/>
      <c r="P54" s="49"/>
      <c r="Q54" s="49"/>
      <c r="R54" s="49"/>
    </row>
    <row r="55" spans="1:18" hidden="1" x14ac:dyDescent="0.2">
      <c r="B55" s="18" t="s">
        <v>54</v>
      </c>
      <c r="E55" s="6">
        <v>17</v>
      </c>
      <c r="F55" s="6" t="s">
        <v>55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P55" s="49"/>
      <c r="Q55" s="49"/>
      <c r="R55" s="49"/>
    </row>
    <row r="56" spans="1:18" x14ac:dyDescent="0.2">
      <c r="E56" s="18"/>
      <c r="F56" s="18"/>
      <c r="G56" s="18"/>
      <c r="H56" s="18"/>
      <c r="P56" s="49"/>
      <c r="Q56" s="49"/>
      <c r="R56" s="49"/>
    </row>
    <row r="57" spans="1:18" x14ac:dyDescent="0.2">
      <c r="B57" s="4" t="s">
        <v>119</v>
      </c>
      <c r="E57" s="18"/>
      <c r="F57" s="18"/>
      <c r="G57" s="18"/>
      <c r="H57" s="18"/>
      <c r="P57" s="49"/>
      <c r="Q57" s="49"/>
      <c r="R57" s="49"/>
    </row>
    <row r="58" spans="1:18" ht="14.25" x14ac:dyDescent="0.2">
      <c r="A58" s="24">
        <v>1</v>
      </c>
      <c r="B58" t="s">
        <v>106</v>
      </c>
      <c r="C58" s="11"/>
      <c r="D58" s="11"/>
      <c r="E58" s="17"/>
      <c r="F58" s="17"/>
      <c r="G58" s="17"/>
      <c r="H58" s="17"/>
      <c r="I58" s="11"/>
      <c r="J58" s="11"/>
      <c r="K58" s="11"/>
      <c r="L58" s="11"/>
      <c r="M58" s="11"/>
      <c r="N58" s="11"/>
      <c r="P58" s="49"/>
      <c r="Q58" s="49"/>
      <c r="R58" s="49"/>
    </row>
    <row r="59" spans="1:18" ht="14.25" x14ac:dyDescent="0.2">
      <c r="A59" s="57">
        <v>2</v>
      </c>
      <c r="B59" s="37" t="s">
        <v>107</v>
      </c>
      <c r="E59" s="16"/>
      <c r="F59" s="16"/>
      <c r="G59" s="16"/>
      <c r="H59" s="16"/>
      <c r="P59" s="49"/>
      <c r="Q59" s="49"/>
      <c r="R59" s="49"/>
    </row>
    <row r="60" spans="1:18" outlineLevel="1" x14ac:dyDescent="0.2">
      <c r="E60" s="16"/>
      <c r="F60" s="16"/>
      <c r="G60" s="16"/>
      <c r="H60" s="16"/>
      <c r="P60" s="49"/>
      <c r="Q60" s="49"/>
      <c r="R60" s="49"/>
    </row>
    <row r="61" spans="1:18" outlineLevel="1" x14ac:dyDescent="0.2">
      <c r="B61" s="59" t="s">
        <v>99</v>
      </c>
      <c r="E61" s="16"/>
      <c r="F61" s="16"/>
      <c r="G61" s="16"/>
      <c r="H61" s="16"/>
      <c r="P61" s="49"/>
      <c r="Q61" s="49"/>
      <c r="R61" s="49"/>
    </row>
    <row r="62" spans="1:18" outlineLevel="1" x14ac:dyDescent="0.2">
      <c r="E62" s="16"/>
      <c r="F62" s="16"/>
      <c r="G62" s="16"/>
      <c r="H62" s="16"/>
      <c r="P62" s="49"/>
      <c r="Q62" s="18" t="s">
        <v>56</v>
      </c>
    </row>
    <row r="63" spans="1:18" outlineLevel="1" x14ac:dyDescent="0.2">
      <c r="E63" s="16"/>
      <c r="F63" s="16"/>
      <c r="G63" s="16"/>
      <c r="H63" s="16"/>
      <c r="P63" s="49"/>
      <c r="Q63" s="6" t="s">
        <v>25</v>
      </c>
    </row>
    <row r="64" spans="1:18" outlineLevel="1" x14ac:dyDescent="0.2">
      <c r="E64" s="16"/>
      <c r="F64" s="16"/>
      <c r="G64" s="16"/>
      <c r="H64" s="16"/>
      <c r="P64" s="49"/>
      <c r="Q64" s="6" t="s">
        <v>26</v>
      </c>
    </row>
    <row r="65" spans="1:18" outlineLevel="1" x14ac:dyDescent="0.2">
      <c r="E65" s="16"/>
      <c r="F65" s="16"/>
      <c r="G65" s="16"/>
      <c r="H65" s="16"/>
      <c r="P65" s="49"/>
      <c r="Q65" s="18" t="s">
        <v>57</v>
      </c>
    </row>
    <row r="66" spans="1:18" outlineLevel="1" x14ac:dyDescent="0.2">
      <c r="E66" s="16"/>
      <c r="F66" s="16"/>
      <c r="G66" s="16"/>
      <c r="H66" s="16"/>
      <c r="P66" s="49"/>
      <c r="Q66" s="6" t="s">
        <v>25</v>
      </c>
    </row>
    <row r="67" spans="1:18" outlineLevel="1" x14ac:dyDescent="0.2">
      <c r="B67" s="6"/>
      <c r="E67" s="16"/>
      <c r="F67" s="16"/>
      <c r="G67" s="16"/>
      <c r="H67" s="16"/>
      <c r="P67" s="49"/>
      <c r="Q67" s="6" t="s">
        <v>26</v>
      </c>
    </row>
    <row r="68" spans="1:18" outlineLevel="1" x14ac:dyDescent="0.2">
      <c r="B68" s="6"/>
      <c r="E68" s="16"/>
      <c r="F68" s="16"/>
      <c r="G68" s="16"/>
      <c r="H68" s="16"/>
      <c r="P68" s="49"/>
      <c r="Q68" s="49"/>
      <c r="R68" s="49"/>
    </row>
    <row r="69" spans="1:18" outlineLevel="1" x14ac:dyDescent="0.2">
      <c r="B69" s="6"/>
      <c r="E69" s="16"/>
      <c r="F69" s="16"/>
      <c r="G69" s="16"/>
      <c r="H69" s="16"/>
      <c r="P69" s="49"/>
      <c r="Q69" s="49"/>
      <c r="R69" s="49"/>
    </row>
    <row r="70" spans="1:18" x14ac:dyDescent="0.2">
      <c r="P70" s="49"/>
      <c r="Q70" s="49"/>
      <c r="R70" s="49"/>
    </row>
    <row r="71" spans="1:18" x14ac:dyDescent="0.2">
      <c r="P71" s="49"/>
      <c r="Q71" s="49"/>
      <c r="R71" s="49"/>
    </row>
    <row r="72" spans="1:18" x14ac:dyDescent="0.2">
      <c r="P72" s="49"/>
      <c r="Q72" s="49"/>
      <c r="R72" s="49"/>
    </row>
    <row r="73" spans="1:18" x14ac:dyDescent="0.2">
      <c r="P73" s="49"/>
      <c r="Q73" s="49"/>
      <c r="R73" s="49"/>
    </row>
    <row r="74" spans="1:18" x14ac:dyDescent="0.2">
      <c r="P74" s="49"/>
      <c r="Q74" s="49"/>
      <c r="R74" s="49"/>
    </row>
    <row r="75" spans="1:18" x14ac:dyDescent="0.2">
      <c r="P75" s="49"/>
      <c r="Q75" s="49"/>
      <c r="R75" s="49"/>
    </row>
    <row r="76" spans="1:18" x14ac:dyDescent="0.2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37"/>
      <c r="O76" s="37"/>
      <c r="P76" s="49"/>
      <c r="Q76" s="49"/>
      <c r="R76" s="49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7"/>
      <c r="O77" s="37"/>
      <c r="P77" s="63"/>
      <c r="Q77" s="63"/>
      <c r="R77" s="63"/>
    </row>
    <row r="78" spans="1:18" s="58" customFormat="1" ht="9" customHeight="1" x14ac:dyDescent="0.2"/>
    <row r="79" spans="1:18" x14ac:dyDescent="0.2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60"/>
      <c r="Q79" s="60"/>
    </row>
  </sheetData>
  <mergeCells count="2">
    <mergeCell ref="B8:O8"/>
    <mergeCell ref="A79:O79"/>
  </mergeCells>
  <phoneticPr fontId="0" type="noConversion"/>
  <pageMargins left="0.9" right="0.9" top="1" bottom="1" header="0.52" footer="0.5"/>
  <pageSetup scale="70" orientation="portrait" r:id="rId1"/>
  <headerFooter alignWithMargins="0"/>
  <colBreaks count="1" manualBreakCount="1">
    <brk id="15" min="1" max="78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628650</xdr:colOff>
                <xdr:row>2</xdr:row>
                <xdr:rowOff>133350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4:Y64"/>
  <sheetViews>
    <sheetView view="pageBreakPreview" zoomScaleNormal="100" zoomScaleSheetLayoutView="100" workbookViewId="0">
      <pane xSplit="3" topLeftCell="D1" activePane="topRight" state="frozen"/>
      <selection activeCell="P12" sqref="P12"/>
      <selection pane="topRight" activeCell="A4" sqref="A4:W6"/>
    </sheetView>
  </sheetViews>
  <sheetFormatPr defaultRowHeight="12.75" outlineLevelRow="1" x14ac:dyDescent="0.2"/>
  <cols>
    <col min="1" max="1" width="6.42578125" customWidth="1"/>
    <col min="2" max="2" width="32.7109375" customWidth="1"/>
    <col min="3" max="3" width="9.7109375" hidden="1" customWidth="1"/>
    <col min="4" max="6" width="9" hidden="1" customWidth="1"/>
    <col min="7" max="10" width="8.85546875" hidden="1" customWidth="1"/>
    <col min="11" max="11" width="8.42578125" hidden="1" customWidth="1"/>
    <col min="12" max="13" width="8" hidden="1" customWidth="1"/>
    <col min="14" max="14" width="7.85546875" hidden="1" customWidth="1"/>
    <col min="15" max="15" width="7.7109375" hidden="1" customWidth="1"/>
    <col min="16" max="16" width="7.85546875" hidden="1" customWidth="1"/>
    <col min="17" max="18" width="12.7109375" hidden="1" customWidth="1"/>
    <col min="19" max="23" width="12.7109375" customWidth="1"/>
  </cols>
  <sheetData>
    <row r="4" spans="1:25" ht="15" x14ac:dyDescent="0.25">
      <c r="M4" s="391" t="s">
        <v>207</v>
      </c>
      <c r="N4" s="391"/>
      <c r="O4" s="391"/>
      <c r="P4" s="391"/>
      <c r="Q4" s="391"/>
      <c r="R4" s="391"/>
      <c r="S4" s="391"/>
      <c r="T4" s="391"/>
      <c r="U4" s="391"/>
      <c r="V4" s="391"/>
      <c r="W4" s="391"/>
    </row>
    <row r="5" spans="1:25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8" spans="1:25" ht="15.75" x14ac:dyDescent="0.25">
      <c r="A8" s="44" t="s">
        <v>210</v>
      </c>
      <c r="B8" s="395" t="s">
        <v>211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</row>
    <row r="10" spans="1:25" x14ac:dyDescent="0.2">
      <c r="U10" s="2"/>
      <c r="V10" s="2"/>
      <c r="W10" s="2"/>
    </row>
    <row r="11" spans="1:25" x14ac:dyDescent="0.2">
      <c r="B11" s="35"/>
      <c r="C11" s="35">
        <v>1991</v>
      </c>
      <c r="D11" s="35">
        <f>C11+1</f>
        <v>1992</v>
      </c>
      <c r="E11" s="35">
        <f t="shared" ref="E11:K11" si="0">D11+1</f>
        <v>1993</v>
      </c>
      <c r="F11" s="35">
        <f t="shared" si="0"/>
        <v>1994</v>
      </c>
      <c r="G11" s="35">
        <f t="shared" si="0"/>
        <v>1995</v>
      </c>
      <c r="H11" s="35">
        <f t="shared" si="0"/>
        <v>1996</v>
      </c>
      <c r="I11" s="35">
        <f t="shared" si="0"/>
        <v>1997</v>
      </c>
      <c r="J11" s="35">
        <f t="shared" si="0"/>
        <v>1998</v>
      </c>
      <c r="K11" s="35">
        <f t="shared" si="0"/>
        <v>1999</v>
      </c>
      <c r="L11" s="43">
        <v>2000</v>
      </c>
      <c r="M11" s="56">
        <v>2001</v>
      </c>
      <c r="N11" s="43">
        <v>2002</v>
      </c>
      <c r="O11" s="43">
        <v>2003</v>
      </c>
      <c r="P11" s="43">
        <v>2004</v>
      </c>
      <c r="Q11" s="50">
        <v>2005</v>
      </c>
      <c r="R11" s="50">
        <v>2006</v>
      </c>
      <c r="S11" s="9"/>
      <c r="T11" s="50">
        <v>2007</v>
      </c>
      <c r="U11" s="55">
        <v>2008</v>
      </c>
      <c r="V11" s="113">
        <v>2009</v>
      </c>
      <c r="W11" s="113">
        <v>2010</v>
      </c>
      <c r="X11" s="45">
        <v>2011</v>
      </c>
      <c r="Y11" s="45">
        <v>2012</v>
      </c>
    </row>
    <row r="13" spans="1:25" x14ac:dyDescent="0.2">
      <c r="B13" s="36" t="s">
        <v>101</v>
      </c>
      <c r="C13" s="28" t="e">
        <f>SUM(C16,#REF!,#REF!,C18,C19)</f>
        <v>#REF!</v>
      </c>
      <c r="D13" s="28" t="e">
        <f>SUM(D16,#REF!,#REF!,D18,D19)</f>
        <v>#REF!</v>
      </c>
      <c r="E13" s="28" t="e">
        <f>SUM(E16,#REF!,#REF!,E18,E19)</f>
        <v>#REF!</v>
      </c>
      <c r="F13" s="28" t="e">
        <f>SUM(F16,#REF!,#REF!,F18,F19)</f>
        <v>#REF!</v>
      </c>
      <c r="G13" s="28" t="e">
        <f>SUM(G16,#REF!,#REF!,G18,G19)</f>
        <v>#REF!</v>
      </c>
      <c r="H13" s="28" t="e">
        <f>SUM(H16,#REF!,#REF!,H18,H19)</f>
        <v>#REF!</v>
      </c>
      <c r="I13" s="28">
        <v>69</v>
      </c>
      <c r="J13" s="76">
        <f>SUM(J16:J19)</f>
        <v>75</v>
      </c>
      <c r="K13" s="90">
        <f t="shared" ref="K13:R13" si="1">SUM(K16:K19)</f>
        <v>73</v>
      </c>
      <c r="L13" s="76">
        <f t="shared" si="1"/>
        <v>103</v>
      </c>
      <c r="M13" s="76">
        <f t="shared" si="1"/>
        <v>108</v>
      </c>
      <c r="N13" s="90">
        <f t="shared" si="1"/>
        <v>101</v>
      </c>
      <c r="O13" s="76">
        <f t="shared" si="1"/>
        <v>127</v>
      </c>
      <c r="P13" s="76">
        <f t="shared" si="1"/>
        <v>116</v>
      </c>
      <c r="Q13" s="76">
        <f t="shared" si="1"/>
        <v>106</v>
      </c>
      <c r="R13" s="76">
        <f t="shared" si="1"/>
        <v>122</v>
      </c>
      <c r="T13" s="76">
        <f>SUM(T16:T19)</f>
        <v>126</v>
      </c>
      <c r="U13" s="76">
        <f>SUM(U16:U19)</f>
        <v>129</v>
      </c>
      <c r="V13" s="76">
        <f>SUM(V16:V19)</f>
        <v>130</v>
      </c>
      <c r="W13" s="76">
        <f>SUM(W16:W19)</f>
        <v>121</v>
      </c>
      <c r="X13" s="76"/>
      <c r="Y13" s="76"/>
    </row>
    <row r="14" spans="1:25" x14ac:dyDescent="0.2">
      <c r="B14" s="36"/>
      <c r="C14" s="28"/>
      <c r="D14" s="28"/>
      <c r="E14" s="28"/>
      <c r="F14" s="28"/>
      <c r="G14" s="28"/>
      <c r="H14" s="28"/>
      <c r="I14" s="28"/>
      <c r="J14" s="77"/>
      <c r="K14" s="91"/>
      <c r="L14" s="78"/>
      <c r="M14" s="78"/>
      <c r="N14" s="87"/>
      <c r="O14" s="78"/>
      <c r="P14" s="78"/>
      <c r="Q14" s="78"/>
      <c r="R14" s="87"/>
      <c r="T14" s="78"/>
    </row>
    <row r="15" spans="1:25" x14ac:dyDescent="0.2">
      <c r="B15" s="36" t="s">
        <v>167</v>
      </c>
      <c r="C15" s="28"/>
      <c r="D15" s="28"/>
      <c r="E15" s="28"/>
      <c r="F15" s="28"/>
      <c r="G15" s="28"/>
      <c r="H15" s="28"/>
      <c r="I15" s="28"/>
      <c r="J15" s="76"/>
      <c r="K15" s="76"/>
      <c r="L15" s="79"/>
      <c r="M15" s="79"/>
      <c r="N15" s="80"/>
      <c r="O15" s="80"/>
      <c r="P15" s="80"/>
      <c r="Q15" s="80"/>
      <c r="R15" s="80"/>
      <c r="T15" s="80"/>
    </row>
    <row r="16" spans="1:25" x14ac:dyDescent="0.2">
      <c r="B16" s="54" t="s">
        <v>59</v>
      </c>
      <c r="C16" s="16">
        <v>0</v>
      </c>
      <c r="D16" s="16">
        <v>13</v>
      </c>
      <c r="E16" s="16">
        <v>22</v>
      </c>
      <c r="F16" s="16">
        <v>26</v>
      </c>
      <c r="G16" s="16">
        <v>25</v>
      </c>
      <c r="H16" s="16">
        <v>27</v>
      </c>
      <c r="I16" s="16">
        <v>50</v>
      </c>
      <c r="J16" s="81">
        <v>62</v>
      </c>
      <c r="K16" s="81">
        <v>61</v>
      </c>
      <c r="L16" s="80">
        <v>89</v>
      </c>
      <c r="M16" s="80">
        <v>92</v>
      </c>
      <c r="N16" s="81">
        <v>79</v>
      </c>
      <c r="O16" s="81">
        <v>115</v>
      </c>
      <c r="P16" s="81">
        <v>87</v>
      </c>
      <c r="Q16" s="81">
        <v>87</v>
      </c>
      <c r="R16" s="81">
        <v>106</v>
      </c>
      <c r="T16" s="81">
        <v>109</v>
      </c>
      <c r="U16" s="81">
        <v>99</v>
      </c>
      <c r="V16" s="81">
        <v>97</v>
      </c>
      <c r="W16" s="81">
        <v>102</v>
      </c>
      <c r="X16" s="81"/>
      <c r="Y16" s="81"/>
    </row>
    <row r="17" spans="2:25" ht="14.25" x14ac:dyDescent="0.2">
      <c r="B17" s="54" t="s">
        <v>147</v>
      </c>
      <c r="C17" s="16"/>
      <c r="D17" s="16"/>
      <c r="E17" s="16"/>
      <c r="F17" s="16"/>
      <c r="G17" s="16"/>
      <c r="H17" s="16"/>
      <c r="I17" s="16"/>
      <c r="J17" s="81"/>
      <c r="K17" s="81"/>
      <c r="L17" s="80"/>
      <c r="M17" s="80"/>
      <c r="N17" s="81"/>
      <c r="O17" s="81"/>
      <c r="P17" s="81"/>
      <c r="Q17" s="81"/>
      <c r="R17" s="82"/>
      <c r="T17" s="82"/>
      <c r="U17" s="114">
        <v>13</v>
      </c>
      <c r="V17" s="81">
        <v>12</v>
      </c>
      <c r="W17" s="81">
        <v>9</v>
      </c>
      <c r="X17" s="81"/>
      <c r="Y17" s="81"/>
    </row>
    <row r="18" spans="2:25" ht="14.25" x14ac:dyDescent="0.2">
      <c r="B18" s="54" t="s">
        <v>100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66" t="s">
        <v>109</v>
      </c>
      <c r="I18" s="16">
        <v>3</v>
      </c>
      <c r="J18" s="81">
        <v>10</v>
      </c>
      <c r="K18" s="81">
        <v>9</v>
      </c>
      <c r="L18" s="80">
        <v>4</v>
      </c>
      <c r="M18" s="80">
        <v>5</v>
      </c>
      <c r="N18" s="81">
        <v>7</v>
      </c>
      <c r="O18" s="82" t="s">
        <v>108</v>
      </c>
      <c r="P18" s="81">
        <v>14</v>
      </c>
      <c r="Q18" s="81">
        <v>12</v>
      </c>
      <c r="R18" s="81">
        <v>2</v>
      </c>
      <c r="T18" s="81">
        <v>3</v>
      </c>
      <c r="U18" s="81">
        <v>1</v>
      </c>
      <c r="V18" s="81">
        <v>1</v>
      </c>
      <c r="W18" s="144" t="s">
        <v>109</v>
      </c>
      <c r="X18" s="144"/>
      <c r="Y18" s="144"/>
    </row>
    <row r="19" spans="2:25" ht="14.25" x14ac:dyDescent="0.2">
      <c r="B19" s="54" t="s">
        <v>61</v>
      </c>
      <c r="C19" s="16">
        <v>0</v>
      </c>
      <c r="D19" s="16">
        <v>0</v>
      </c>
      <c r="E19" s="16">
        <v>0</v>
      </c>
      <c r="F19" s="16">
        <v>8</v>
      </c>
      <c r="G19" s="16">
        <v>7</v>
      </c>
      <c r="H19" s="66" t="s">
        <v>109</v>
      </c>
      <c r="I19" s="66" t="s">
        <v>109</v>
      </c>
      <c r="J19" s="81">
        <v>3</v>
      </c>
      <c r="K19" s="81">
        <v>3</v>
      </c>
      <c r="L19" s="80">
        <v>10</v>
      </c>
      <c r="M19" s="80">
        <v>11</v>
      </c>
      <c r="N19" s="81">
        <v>15</v>
      </c>
      <c r="O19" s="81">
        <v>12</v>
      </c>
      <c r="P19" s="81">
        <v>15</v>
      </c>
      <c r="Q19" s="81">
        <v>7</v>
      </c>
      <c r="R19" s="81">
        <v>14</v>
      </c>
      <c r="T19" s="81">
        <v>14</v>
      </c>
      <c r="U19" s="81">
        <v>16</v>
      </c>
      <c r="V19" s="81">
        <v>20</v>
      </c>
      <c r="W19" s="81">
        <v>10</v>
      </c>
      <c r="X19" s="81"/>
      <c r="Y19" s="81"/>
    </row>
    <row r="20" spans="2:25" x14ac:dyDescent="0.2">
      <c r="B20" s="36"/>
      <c r="C20" s="28"/>
      <c r="D20" s="28"/>
      <c r="E20" s="28"/>
      <c r="F20" s="28"/>
      <c r="G20" s="28"/>
      <c r="H20" s="28"/>
      <c r="I20" s="28"/>
      <c r="J20" s="76"/>
      <c r="K20" s="76"/>
      <c r="L20" s="79"/>
      <c r="M20" s="79"/>
      <c r="N20" s="80"/>
      <c r="O20" s="80"/>
      <c r="P20" s="80"/>
      <c r="Q20" s="80"/>
      <c r="R20" s="80"/>
      <c r="T20" s="80"/>
    </row>
    <row r="21" spans="2:25" x14ac:dyDescent="0.2">
      <c r="B21" s="152" t="s">
        <v>168</v>
      </c>
      <c r="C21" s="16"/>
      <c r="D21" s="16"/>
      <c r="E21" s="16"/>
      <c r="F21" s="16"/>
      <c r="G21" s="16"/>
      <c r="H21" s="16"/>
      <c r="I21" s="16"/>
      <c r="J21" s="76"/>
      <c r="K21" s="76"/>
      <c r="L21" s="76"/>
      <c r="M21" s="76"/>
      <c r="N21" s="76"/>
      <c r="O21" s="76"/>
      <c r="P21" s="76"/>
      <c r="Q21" s="76"/>
      <c r="R21" s="76"/>
      <c r="T21" s="76"/>
    </row>
    <row r="22" spans="2:25" x14ac:dyDescent="0.2">
      <c r="B22" s="38" t="s">
        <v>56</v>
      </c>
      <c r="C22" s="16">
        <v>29</v>
      </c>
      <c r="D22" s="16">
        <v>30</v>
      </c>
      <c r="E22" s="16">
        <v>31</v>
      </c>
      <c r="F22" s="16">
        <v>39</v>
      </c>
      <c r="G22" s="16">
        <v>33</v>
      </c>
      <c r="H22" s="16">
        <v>22</v>
      </c>
      <c r="I22" s="16">
        <v>28</v>
      </c>
      <c r="J22" s="81">
        <v>28</v>
      </c>
      <c r="K22" s="81">
        <v>35</v>
      </c>
      <c r="L22" s="80">
        <v>51</v>
      </c>
      <c r="M22" s="80">
        <v>54</v>
      </c>
      <c r="N22" s="81">
        <v>85</v>
      </c>
      <c r="O22" s="89">
        <v>87</v>
      </c>
      <c r="P22" s="81">
        <v>100</v>
      </c>
      <c r="Q22" s="89">
        <v>73</v>
      </c>
      <c r="R22" s="81">
        <v>89</v>
      </c>
      <c r="T22" s="81">
        <v>88</v>
      </c>
      <c r="U22" s="81">
        <v>86</v>
      </c>
      <c r="V22" s="81">
        <v>94</v>
      </c>
      <c r="W22" s="81">
        <v>80</v>
      </c>
      <c r="X22" s="81"/>
      <c r="Y22" s="81"/>
    </row>
    <row r="23" spans="2:25" x14ac:dyDescent="0.2">
      <c r="B23" s="38" t="s">
        <v>57</v>
      </c>
      <c r="C23" s="16">
        <v>3</v>
      </c>
      <c r="D23" s="16">
        <v>10</v>
      </c>
      <c r="E23" s="16">
        <v>12</v>
      </c>
      <c r="F23" s="16">
        <v>11</v>
      </c>
      <c r="G23" s="16">
        <v>10</v>
      </c>
      <c r="H23" s="16">
        <v>20</v>
      </c>
      <c r="I23" s="16">
        <v>41</v>
      </c>
      <c r="J23" s="81">
        <v>67</v>
      </c>
      <c r="K23" s="81">
        <v>52</v>
      </c>
      <c r="L23" s="80">
        <v>59</v>
      </c>
      <c r="M23" s="80">
        <v>63</v>
      </c>
      <c r="N23" s="81">
        <v>27</v>
      </c>
      <c r="O23" s="89">
        <v>47</v>
      </c>
      <c r="P23" s="81">
        <v>23</v>
      </c>
      <c r="Q23" s="89">
        <v>38</v>
      </c>
      <c r="R23" s="81">
        <v>33</v>
      </c>
      <c r="T23" s="81">
        <v>38</v>
      </c>
      <c r="U23" s="81">
        <v>43</v>
      </c>
      <c r="V23" s="81">
        <v>36</v>
      </c>
      <c r="W23" s="81">
        <v>41</v>
      </c>
      <c r="X23" s="81"/>
      <c r="Y23" s="81"/>
    </row>
    <row r="24" spans="2:25" x14ac:dyDescent="0.2">
      <c r="B24" s="38"/>
      <c r="C24" s="16"/>
      <c r="D24" s="16"/>
      <c r="E24" s="16"/>
      <c r="F24" s="16"/>
      <c r="G24" s="16"/>
      <c r="H24" s="16"/>
      <c r="I24" s="16"/>
      <c r="J24" s="81"/>
      <c r="K24" s="81"/>
      <c r="L24" s="80"/>
      <c r="M24" s="80"/>
      <c r="N24" s="81"/>
      <c r="O24" s="89"/>
      <c r="P24" s="81"/>
      <c r="Q24" s="89"/>
      <c r="R24" s="81"/>
      <c r="T24" s="81"/>
      <c r="U24" s="81"/>
    </row>
    <row r="25" spans="2:25" x14ac:dyDescent="0.2">
      <c r="B25" s="152" t="s">
        <v>169</v>
      </c>
      <c r="C25" s="28"/>
      <c r="D25" s="28"/>
      <c r="E25" s="28"/>
      <c r="F25" s="28"/>
      <c r="G25" s="28"/>
      <c r="H25" s="28"/>
      <c r="I25" s="28"/>
      <c r="J25" s="76"/>
      <c r="K25" s="76"/>
      <c r="L25" s="76"/>
      <c r="M25" s="76"/>
      <c r="N25" s="76"/>
      <c r="O25" s="76"/>
      <c r="P25" s="76"/>
      <c r="Q25" s="76"/>
      <c r="R25" s="76"/>
      <c r="T25" s="76"/>
    </row>
    <row r="26" spans="2:25" x14ac:dyDescent="0.2">
      <c r="B26" s="37" t="s">
        <v>26</v>
      </c>
      <c r="C26" s="16">
        <v>19</v>
      </c>
      <c r="D26" s="16">
        <v>27</v>
      </c>
      <c r="E26" s="16">
        <v>29</v>
      </c>
      <c r="F26" s="16">
        <v>34</v>
      </c>
      <c r="G26" s="16">
        <v>24</v>
      </c>
      <c r="H26" s="16">
        <v>25</v>
      </c>
      <c r="I26" s="16">
        <v>43</v>
      </c>
      <c r="J26" s="81">
        <v>59</v>
      </c>
      <c r="K26" s="81">
        <v>56</v>
      </c>
      <c r="L26" s="80">
        <v>59</v>
      </c>
      <c r="M26" s="80">
        <v>53</v>
      </c>
      <c r="N26" s="81">
        <v>63</v>
      </c>
      <c r="O26" s="89">
        <v>80</v>
      </c>
      <c r="P26" s="81">
        <v>83</v>
      </c>
      <c r="Q26" s="88">
        <v>61</v>
      </c>
      <c r="R26" s="81">
        <v>74</v>
      </c>
      <c r="T26" s="81">
        <v>72</v>
      </c>
      <c r="U26" s="81">
        <v>74</v>
      </c>
      <c r="V26" s="81">
        <v>61</v>
      </c>
      <c r="W26" s="81">
        <v>49</v>
      </c>
      <c r="X26" s="81"/>
      <c r="Y26" s="81"/>
    </row>
    <row r="27" spans="2:25" x14ac:dyDescent="0.2">
      <c r="B27" s="37" t="s">
        <v>25</v>
      </c>
      <c r="C27" s="16">
        <v>13</v>
      </c>
      <c r="D27" s="16">
        <v>13</v>
      </c>
      <c r="E27" s="16">
        <v>14</v>
      </c>
      <c r="F27" s="16">
        <v>16</v>
      </c>
      <c r="G27" s="16">
        <v>19</v>
      </c>
      <c r="H27" s="16">
        <v>17</v>
      </c>
      <c r="I27" s="16">
        <v>26</v>
      </c>
      <c r="J27" s="81">
        <v>36</v>
      </c>
      <c r="K27" s="81">
        <v>31</v>
      </c>
      <c r="L27" s="80">
        <v>51</v>
      </c>
      <c r="M27" s="80">
        <v>64</v>
      </c>
      <c r="N27" s="81">
        <v>49</v>
      </c>
      <c r="O27" s="89">
        <v>54</v>
      </c>
      <c r="P27" s="81">
        <v>40</v>
      </c>
      <c r="Q27" s="88">
        <v>50</v>
      </c>
      <c r="R27" s="81">
        <v>48</v>
      </c>
      <c r="T27" s="81">
        <v>54</v>
      </c>
      <c r="U27" s="81">
        <v>55</v>
      </c>
      <c r="V27" s="81">
        <v>69</v>
      </c>
      <c r="W27" s="81">
        <v>72</v>
      </c>
      <c r="X27" s="81"/>
      <c r="Y27" s="81"/>
    </row>
    <row r="29" spans="2:25" x14ac:dyDescent="0.2">
      <c r="B29" s="38"/>
      <c r="C29" s="16"/>
      <c r="D29" s="16"/>
      <c r="E29" s="16"/>
      <c r="F29" s="16"/>
      <c r="G29" s="16"/>
      <c r="H29" s="16"/>
      <c r="I29" s="16"/>
      <c r="J29" s="81"/>
      <c r="K29" s="81"/>
      <c r="L29" s="80"/>
      <c r="M29" s="80"/>
      <c r="N29" s="81"/>
      <c r="O29" s="89"/>
      <c r="P29" s="81"/>
      <c r="Q29" s="89"/>
      <c r="R29" s="81"/>
      <c r="T29" s="81"/>
      <c r="U29" s="81"/>
    </row>
    <row r="30" spans="2:25" s="4" customFormat="1" ht="14.25" x14ac:dyDescent="0.2">
      <c r="B30" s="70" t="s">
        <v>58</v>
      </c>
      <c r="C30" s="42" t="e">
        <f>SUM(C31,C32,#REF!,#REF!,C34)</f>
        <v>#REF!</v>
      </c>
      <c r="D30" s="42" t="e">
        <f>SUM(D31,D32,#REF!,#REF!,D34)</f>
        <v>#REF!</v>
      </c>
      <c r="E30" s="42" t="e">
        <f>SUM(E31,E32,#REF!,#REF!,E34)</f>
        <v>#REF!</v>
      </c>
      <c r="F30" s="42" t="e">
        <f>SUM(F31,F32,#REF!,#REF!,F34)</f>
        <v>#REF!</v>
      </c>
      <c r="G30" s="42" t="e">
        <f>SUM(G31,G32,#REF!,#REF!,G34)</f>
        <v>#REF!</v>
      </c>
      <c r="H30" s="42" t="e">
        <f>SUM(H31,H32,#REF!,#REF!,H34)</f>
        <v>#REF!</v>
      </c>
      <c r="I30" s="42">
        <v>12</v>
      </c>
      <c r="J30" s="83">
        <v>11</v>
      </c>
      <c r="K30" s="83">
        <v>22</v>
      </c>
      <c r="L30" s="79">
        <f>SUM(L31:L34)</f>
        <v>19</v>
      </c>
      <c r="M30" s="79">
        <f t="shared" ref="M30:R30" si="2">SUM(M31:M34)</f>
        <v>19</v>
      </c>
      <c r="N30" s="79">
        <f t="shared" si="2"/>
        <v>17</v>
      </c>
      <c r="O30" s="79">
        <f t="shared" si="2"/>
        <v>33</v>
      </c>
      <c r="P30" s="79">
        <f t="shared" si="2"/>
        <v>22</v>
      </c>
      <c r="Q30" s="84" t="s">
        <v>109</v>
      </c>
      <c r="R30" s="85">
        <f t="shared" si="2"/>
        <v>29</v>
      </c>
      <c r="T30" s="85">
        <f>SUM(T31:T34)</f>
        <v>34</v>
      </c>
      <c r="U30" s="85">
        <f>SUM(U31:U34)</f>
        <v>36</v>
      </c>
      <c r="V30" s="85">
        <f>SUM(V31:V34)</f>
        <v>23</v>
      </c>
      <c r="W30" s="147" t="s">
        <v>108</v>
      </c>
      <c r="X30" s="147"/>
      <c r="Y30" s="147"/>
    </row>
    <row r="31" spans="2:25" ht="14.25" x14ac:dyDescent="0.2">
      <c r="B31" s="54" t="s">
        <v>150</v>
      </c>
      <c r="C31" s="16">
        <v>0</v>
      </c>
      <c r="D31" s="16">
        <v>0</v>
      </c>
      <c r="E31" s="16">
        <v>0</v>
      </c>
      <c r="F31" s="16">
        <v>11</v>
      </c>
      <c r="G31" s="16">
        <v>10</v>
      </c>
      <c r="H31" s="16">
        <v>6</v>
      </c>
      <c r="I31" s="16">
        <v>10</v>
      </c>
      <c r="J31" s="81">
        <v>9</v>
      </c>
      <c r="K31" s="81">
        <v>19</v>
      </c>
      <c r="L31" s="80">
        <v>18</v>
      </c>
      <c r="M31" s="80">
        <v>15</v>
      </c>
      <c r="N31" s="81">
        <v>15</v>
      </c>
      <c r="O31" s="81">
        <v>23</v>
      </c>
      <c r="P31" s="81">
        <v>11</v>
      </c>
      <c r="Q31" s="82" t="s">
        <v>109</v>
      </c>
      <c r="R31" s="86">
        <v>22</v>
      </c>
      <c r="T31" s="86">
        <v>24</v>
      </c>
      <c r="U31" s="81">
        <v>24</v>
      </c>
      <c r="V31" s="114">
        <v>15</v>
      </c>
      <c r="W31" s="147" t="s">
        <v>108</v>
      </c>
      <c r="X31" s="147"/>
      <c r="Y31" s="147"/>
    </row>
    <row r="32" spans="2:25" ht="14.25" x14ac:dyDescent="0.2">
      <c r="B32" s="3" t="s">
        <v>60</v>
      </c>
      <c r="C32" s="16">
        <v>0</v>
      </c>
      <c r="D32" s="16">
        <v>1</v>
      </c>
      <c r="E32" s="16">
        <v>2</v>
      </c>
      <c r="F32" s="16">
        <v>3</v>
      </c>
      <c r="G32" s="16">
        <v>2</v>
      </c>
      <c r="H32" s="16">
        <v>1</v>
      </c>
      <c r="I32" s="16">
        <v>2</v>
      </c>
      <c r="J32" s="81">
        <v>2</v>
      </c>
      <c r="K32" s="81">
        <v>1</v>
      </c>
      <c r="L32" s="80">
        <v>1</v>
      </c>
      <c r="M32" s="80">
        <v>4</v>
      </c>
      <c r="N32" s="81">
        <v>2</v>
      </c>
      <c r="O32" s="81">
        <v>4</v>
      </c>
      <c r="P32" s="81">
        <v>3</v>
      </c>
      <c r="Q32" s="82" t="s">
        <v>109</v>
      </c>
      <c r="R32" s="82" t="s">
        <v>109</v>
      </c>
      <c r="T32" s="82" t="s">
        <v>109</v>
      </c>
      <c r="U32" s="82" t="s">
        <v>109</v>
      </c>
      <c r="V32" s="82" t="s">
        <v>109</v>
      </c>
      <c r="W32" s="147" t="s">
        <v>108</v>
      </c>
      <c r="X32" s="147"/>
      <c r="Y32" s="147"/>
    </row>
    <row r="33" spans="2:25" ht="14.25" x14ac:dyDescent="0.2">
      <c r="B33" s="3" t="s">
        <v>148</v>
      </c>
      <c r="C33" s="16"/>
      <c r="D33" s="16"/>
      <c r="E33" s="16"/>
      <c r="F33" s="16"/>
      <c r="G33" s="16"/>
      <c r="H33" s="16"/>
      <c r="I33" s="16"/>
      <c r="J33" s="81"/>
      <c r="K33" s="81"/>
      <c r="L33" s="80"/>
      <c r="M33" s="80"/>
      <c r="N33" s="81"/>
      <c r="O33" s="81"/>
      <c r="P33" s="81"/>
      <c r="Q33" s="82"/>
      <c r="R33" s="82"/>
      <c r="T33" s="82"/>
      <c r="U33" s="81">
        <v>2</v>
      </c>
      <c r="V33" s="82" t="s">
        <v>109</v>
      </c>
      <c r="W33" s="147" t="s">
        <v>108</v>
      </c>
      <c r="X33" s="147"/>
      <c r="Y33" s="147"/>
    </row>
    <row r="34" spans="2:25" ht="14.25" x14ac:dyDescent="0.2">
      <c r="B34" s="54" t="s">
        <v>61</v>
      </c>
      <c r="C34" s="16">
        <v>0</v>
      </c>
      <c r="D34" s="16">
        <v>0</v>
      </c>
      <c r="E34" s="16">
        <v>0</v>
      </c>
      <c r="F34" s="16">
        <v>0</v>
      </c>
      <c r="G34" s="16">
        <v>8</v>
      </c>
      <c r="H34" s="16">
        <v>7</v>
      </c>
      <c r="I34" s="66" t="s">
        <v>109</v>
      </c>
      <c r="J34" s="82" t="s">
        <v>109</v>
      </c>
      <c r="K34" s="82" t="s">
        <v>109</v>
      </c>
      <c r="L34" s="82" t="s">
        <v>109</v>
      </c>
      <c r="M34" s="82" t="s">
        <v>109</v>
      </c>
      <c r="N34" s="82" t="s">
        <v>109</v>
      </c>
      <c r="O34" s="81">
        <v>6</v>
      </c>
      <c r="P34" s="81">
        <v>8</v>
      </c>
      <c r="Q34" s="82" t="s">
        <v>109</v>
      </c>
      <c r="R34" s="81">
        <v>7</v>
      </c>
      <c r="T34" s="81">
        <v>10</v>
      </c>
      <c r="U34" s="81">
        <v>10</v>
      </c>
      <c r="V34" s="114">
        <v>8</v>
      </c>
      <c r="W34" s="147" t="s">
        <v>108</v>
      </c>
      <c r="X34" s="147"/>
      <c r="Y34" s="147"/>
    </row>
    <row r="35" spans="2:25" x14ac:dyDescent="0.2">
      <c r="B35" s="38"/>
      <c r="C35" s="16"/>
      <c r="D35" s="16"/>
      <c r="E35" s="16"/>
      <c r="F35" s="16"/>
      <c r="G35" s="16"/>
      <c r="H35" s="16"/>
      <c r="I35" s="16"/>
      <c r="J35" s="81"/>
      <c r="K35" s="81"/>
      <c r="L35" s="80"/>
      <c r="M35" s="80"/>
      <c r="N35" s="81"/>
      <c r="O35" s="89"/>
      <c r="P35" s="81"/>
      <c r="Q35" s="89"/>
      <c r="R35" s="81"/>
      <c r="T35" s="81"/>
      <c r="U35" s="81"/>
      <c r="W35" s="29"/>
      <c r="X35" s="29"/>
      <c r="Y35" s="29"/>
    </row>
    <row r="36" spans="2:25" ht="14.25" x14ac:dyDescent="0.2">
      <c r="B36" s="152" t="s">
        <v>168</v>
      </c>
      <c r="C36" s="16"/>
      <c r="D36" s="16"/>
      <c r="E36" s="16"/>
      <c r="F36" s="16"/>
      <c r="G36" s="16"/>
      <c r="H36" s="16"/>
      <c r="I36" s="16"/>
      <c r="J36" s="81"/>
      <c r="K36" s="81"/>
      <c r="L36" s="80"/>
      <c r="M36" s="80"/>
      <c r="N36" s="81"/>
      <c r="O36" s="89"/>
      <c r="P36" s="81"/>
      <c r="Q36" s="89"/>
      <c r="R36" s="81"/>
      <c r="T36" s="81"/>
      <c r="U36" s="83">
        <f>SUM(U37:U38)</f>
        <v>36</v>
      </c>
      <c r="V36" s="83">
        <f>SUM(V37:V38)</f>
        <v>23</v>
      </c>
      <c r="W36" s="147" t="s">
        <v>108</v>
      </c>
      <c r="X36" s="147"/>
      <c r="Y36" s="147"/>
    </row>
    <row r="37" spans="2:25" ht="14.25" x14ac:dyDescent="0.2">
      <c r="B37" s="38" t="s">
        <v>56</v>
      </c>
      <c r="I37" s="16"/>
      <c r="J37" s="81"/>
      <c r="K37" s="81"/>
      <c r="L37" s="81"/>
      <c r="M37" s="81"/>
      <c r="N37" s="81"/>
      <c r="O37" s="89"/>
      <c r="P37" s="81"/>
      <c r="Q37" s="89"/>
      <c r="R37" s="81"/>
      <c r="T37" s="81"/>
      <c r="U37" s="81">
        <v>26</v>
      </c>
      <c r="V37" s="114">
        <v>17</v>
      </c>
      <c r="W37" s="147" t="s">
        <v>108</v>
      </c>
      <c r="X37" s="147"/>
      <c r="Y37" s="147"/>
    </row>
    <row r="38" spans="2:25" ht="14.25" x14ac:dyDescent="0.2">
      <c r="B38" s="38" t="s">
        <v>57</v>
      </c>
      <c r="I38" s="16"/>
      <c r="J38" s="81"/>
      <c r="K38" s="81"/>
      <c r="L38" s="80"/>
      <c r="M38" s="80"/>
      <c r="N38" s="80"/>
      <c r="O38" s="80"/>
      <c r="P38" s="80"/>
      <c r="Q38" s="80"/>
      <c r="R38" s="80"/>
      <c r="T38" s="80"/>
      <c r="U38" s="81">
        <v>10</v>
      </c>
      <c r="V38" s="114">
        <v>6</v>
      </c>
      <c r="W38" s="147" t="s">
        <v>108</v>
      </c>
      <c r="X38" s="147"/>
      <c r="Y38" s="147"/>
    </row>
    <row r="39" spans="2:25" x14ac:dyDescent="0.2">
      <c r="B39" s="38"/>
      <c r="I39" s="16"/>
      <c r="J39" s="81"/>
      <c r="K39" s="81"/>
      <c r="L39" s="80"/>
      <c r="M39" s="80"/>
      <c r="N39" s="80"/>
      <c r="O39" s="80"/>
      <c r="P39" s="80"/>
      <c r="Q39" s="80"/>
      <c r="R39" s="80"/>
      <c r="T39" s="80"/>
      <c r="U39" s="81"/>
      <c r="W39" s="29"/>
      <c r="X39" s="29"/>
      <c r="Y39" s="29"/>
    </row>
    <row r="40" spans="2:25" ht="14.25" x14ac:dyDescent="0.2">
      <c r="B40" s="152" t="s">
        <v>169</v>
      </c>
      <c r="I40" s="16"/>
      <c r="J40" s="81"/>
      <c r="K40" s="81"/>
      <c r="L40" s="80"/>
      <c r="M40" s="80"/>
      <c r="N40" s="80"/>
      <c r="O40" s="80"/>
      <c r="P40" s="80"/>
      <c r="Q40" s="80"/>
      <c r="R40" s="80"/>
      <c r="T40" s="80"/>
      <c r="U40" s="83">
        <f>SUM(U41:U42)</f>
        <v>36</v>
      </c>
      <c r="V40" s="83">
        <f>SUM(V41:V42)</f>
        <v>23</v>
      </c>
      <c r="W40" s="147" t="s">
        <v>108</v>
      </c>
      <c r="X40" s="147"/>
      <c r="Y40" s="147"/>
    </row>
    <row r="41" spans="2:25" ht="14.25" x14ac:dyDescent="0.2">
      <c r="B41" s="38" t="s">
        <v>26</v>
      </c>
      <c r="I41" s="16"/>
      <c r="J41" s="81"/>
      <c r="K41" s="81"/>
      <c r="L41" s="80"/>
      <c r="M41" s="80"/>
      <c r="N41" s="80"/>
      <c r="O41" s="80"/>
      <c r="P41" s="80"/>
      <c r="Q41" s="80"/>
      <c r="R41" s="80"/>
      <c r="T41" s="80"/>
      <c r="U41" s="81">
        <v>25</v>
      </c>
      <c r="V41" s="114">
        <v>17</v>
      </c>
      <c r="W41" s="147" t="s">
        <v>108</v>
      </c>
      <c r="X41" s="147"/>
      <c r="Y41" s="147"/>
    </row>
    <row r="42" spans="2:25" ht="14.25" x14ac:dyDescent="0.2">
      <c r="B42" s="38" t="s">
        <v>25</v>
      </c>
      <c r="I42" s="16"/>
      <c r="J42" s="81"/>
      <c r="K42" s="81"/>
      <c r="L42" s="80"/>
      <c r="M42" s="80"/>
      <c r="N42" s="80"/>
      <c r="O42" s="80"/>
      <c r="P42" s="80"/>
      <c r="Q42" s="80"/>
      <c r="R42" s="80"/>
      <c r="T42" s="80"/>
      <c r="U42" s="81">
        <v>11</v>
      </c>
      <c r="V42" s="114">
        <v>6</v>
      </c>
      <c r="W42" s="147" t="s">
        <v>108</v>
      </c>
      <c r="X42" s="147"/>
      <c r="Y42" s="147"/>
    </row>
    <row r="43" spans="2:25" x14ac:dyDescent="0.2">
      <c r="B43" s="38"/>
      <c r="I43" s="16"/>
      <c r="J43" s="81"/>
      <c r="K43" s="81"/>
      <c r="L43" s="80"/>
      <c r="M43" s="80"/>
      <c r="N43" s="80"/>
      <c r="O43" s="80"/>
      <c r="P43" s="80"/>
      <c r="Q43" s="80"/>
      <c r="R43" s="80"/>
      <c r="T43" s="80"/>
    </row>
    <row r="44" spans="2:25" ht="12.75" hidden="1" customHeight="1" outlineLevel="1" x14ac:dyDescent="0.2">
      <c r="B44" s="34" t="s">
        <v>56</v>
      </c>
      <c r="C44" s="16">
        <v>0</v>
      </c>
      <c r="D44" s="16"/>
      <c r="E44" s="16"/>
      <c r="F44" s="16"/>
      <c r="G44" s="16">
        <v>8</v>
      </c>
      <c r="H44" s="16">
        <v>7</v>
      </c>
      <c r="I44" s="16"/>
      <c r="J44" s="81"/>
      <c r="K44" s="81"/>
      <c r="L44" s="80"/>
      <c r="M44" s="80"/>
      <c r="N44" s="80"/>
      <c r="O44" s="80"/>
      <c r="P44" s="81"/>
      <c r="Q44" s="82" t="s">
        <v>109</v>
      </c>
      <c r="R44" s="86"/>
      <c r="T44" s="86" t="s">
        <v>113</v>
      </c>
      <c r="V44" s="82" t="s">
        <v>108</v>
      </c>
      <c r="W44" s="82" t="s">
        <v>108</v>
      </c>
      <c r="X44" s="82"/>
      <c r="Y44" s="82"/>
    </row>
    <row r="45" spans="2:25" ht="12.75" hidden="1" customHeight="1" outlineLevel="1" x14ac:dyDescent="0.2">
      <c r="B45" s="34" t="s">
        <v>57</v>
      </c>
      <c r="C45" s="16">
        <v>0</v>
      </c>
      <c r="D45" s="16"/>
      <c r="E45" s="16"/>
      <c r="F45" s="16"/>
      <c r="G45" s="16"/>
      <c r="H45" s="16">
        <v>7</v>
      </c>
      <c r="I45" s="16"/>
      <c r="J45" s="81"/>
      <c r="K45" s="81"/>
      <c r="L45" s="80"/>
      <c r="M45" s="80"/>
      <c r="N45" s="80"/>
      <c r="O45" s="80"/>
      <c r="P45" s="81"/>
      <c r="Q45" s="82" t="s">
        <v>108</v>
      </c>
      <c r="R45" s="86"/>
      <c r="T45" s="86" t="s">
        <v>113</v>
      </c>
      <c r="V45" s="82" t="s">
        <v>108</v>
      </c>
      <c r="W45" s="82" t="s">
        <v>108</v>
      </c>
      <c r="X45" s="82"/>
      <c r="Y45" s="82"/>
    </row>
    <row r="46" spans="2:25" ht="12.75" hidden="1" customHeight="1" outlineLevel="1" x14ac:dyDescent="0.2">
      <c r="B46" s="6" t="s">
        <v>7</v>
      </c>
      <c r="C46" s="16">
        <v>0</v>
      </c>
      <c r="D46" s="16"/>
      <c r="E46" s="16"/>
      <c r="F46" s="16"/>
      <c r="G46" s="16"/>
      <c r="H46" s="16"/>
      <c r="I46" s="16"/>
      <c r="J46" s="81"/>
      <c r="K46" s="81"/>
      <c r="L46" s="80"/>
      <c r="M46" s="80"/>
      <c r="N46" s="80"/>
      <c r="O46" s="80"/>
      <c r="P46" s="81"/>
      <c r="Q46" s="82" t="s">
        <v>108</v>
      </c>
      <c r="R46" s="86"/>
      <c r="T46" s="86" t="s">
        <v>113</v>
      </c>
      <c r="V46" s="82" t="s">
        <v>108</v>
      </c>
      <c r="W46" s="82" t="s">
        <v>108</v>
      </c>
      <c r="X46" s="82"/>
      <c r="Y46" s="82"/>
    </row>
    <row r="47" spans="2:25" ht="12.75" hidden="1" customHeight="1" outlineLevel="1" x14ac:dyDescent="0.2">
      <c r="B47" s="6" t="s">
        <v>8</v>
      </c>
      <c r="C47" s="16">
        <v>0</v>
      </c>
      <c r="D47" s="16"/>
      <c r="E47" s="16"/>
      <c r="F47" s="16"/>
      <c r="G47" s="16"/>
      <c r="H47" s="16"/>
      <c r="I47" s="16"/>
      <c r="J47" s="81"/>
      <c r="K47" s="81"/>
      <c r="L47" s="80"/>
      <c r="M47" s="80"/>
      <c r="N47" s="80"/>
      <c r="O47" s="80"/>
      <c r="P47" s="81"/>
      <c r="Q47" s="82" t="s">
        <v>108</v>
      </c>
      <c r="R47" s="86"/>
      <c r="T47" s="86" t="s">
        <v>113</v>
      </c>
      <c r="V47" s="82" t="s">
        <v>108</v>
      </c>
      <c r="W47" s="82" t="s">
        <v>108</v>
      </c>
      <c r="X47" s="82"/>
      <c r="Y47" s="82"/>
    </row>
    <row r="48" spans="2:25" ht="14.25" hidden="1" x14ac:dyDescent="0.2">
      <c r="C48" s="16"/>
      <c r="D48" s="16"/>
      <c r="E48" s="16"/>
      <c r="F48" s="16"/>
      <c r="G48" s="16"/>
      <c r="H48" s="16"/>
      <c r="I48" s="16"/>
      <c r="J48" s="81"/>
      <c r="K48" s="81"/>
      <c r="L48" s="80"/>
      <c r="M48" s="80"/>
      <c r="N48" s="80"/>
      <c r="O48" s="80"/>
      <c r="P48" s="81"/>
      <c r="Q48" s="82" t="s">
        <v>108</v>
      </c>
      <c r="R48" s="86"/>
      <c r="T48" s="86" t="s">
        <v>113</v>
      </c>
      <c r="V48" s="82" t="s">
        <v>108</v>
      </c>
      <c r="W48" s="82" t="s">
        <v>108</v>
      </c>
      <c r="X48" s="82"/>
      <c r="Y48" s="82"/>
    </row>
    <row r="49" spans="1:25" s="4" customFormat="1" x14ac:dyDescent="0.2">
      <c r="B49" s="70" t="s">
        <v>62</v>
      </c>
      <c r="C49" s="42"/>
      <c r="D49" s="42">
        <v>6</v>
      </c>
      <c r="E49" s="42">
        <v>6</v>
      </c>
      <c r="F49" s="42">
        <v>6</v>
      </c>
      <c r="G49" s="42">
        <v>6</v>
      </c>
      <c r="H49" s="42">
        <v>6</v>
      </c>
      <c r="I49" s="42">
        <v>7</v>
      </c>
      <c r="J49" s="83">
        <f t="shared" ref="J49:P49" si="3">SUM(J51+J50)</f>
        <v>7</v>
      </c>
      <c r="K49" s="83">
        <f t="shared" si="3"/>
        <v>8</v>
      </c>
      <c r="L49" s="83">
        <f t="shared" si="3"/>
        <v>8</v>
      </c>
      <c r="M49" s="83">
        <f t="shared" si="3"/>
        <v>9</v>
      </c>
      <c r="N49" s="83">
        <f t="shared" si="3"/>
        <v>10</v>
      </c>
      <c r="O49" s="83">
        <f t="shared" si="3"/>
        <v>10</v>
      </c>
      <c r="P49" s="83">
        <f t="shared" si="3"/>
        <v>11</v>
      </c>
      <c r="Q49" s="83">
        <f>SUM(Q50:Q51)</f>
        <v>10</v>
      </c>
      <c r="R49" s="83">
        <f>SUM(R50:R51)</f>
        <v>12</v>
      </c>
      <c r="T49" s="83">
        <f>SUM(T50:T51)</f>
        <v>12</v>
      </c>
      <c r="U49" s="83">
        <f>SUM(U50:U51)</f>
        <v>12</v>
      </c>
      <c r="V49" s="83">
        <f>SUM(V50:V51)</f>
        <v>12</v>
      </c>
      <c r="W49" s="83">
        <f>SUM(W50:W51)</f>
        <v>12</v>
      </c>
      <c r="X49" s="83"/>
      <c r="Y49" s="83"/>
    </row>
    <row r="50" spans="1:25" s="4" customFormat="1" x14ac:dyDescent="0.2">
      <c r="B50" s="54" t="s">
        <v>26</v>
      </c>
      <c r="C50" s="16">
        <v>1</v>
      </c>
      <c r="D50" s="16">
        <v>1</v>
      </c>
      <c r="E50" s="16">
        <v>2</v>
      </c>
      <c r="F50" s="16">
        <v>2</v>
      </c>
      <c r="G50" s="16">
        <v>2</v>
      </c>
      <c r="H50" s="16">
        <v>2</v>
      </c>
      <c r="I50" s="16">
        <v>2</v>
      </c>
      <c r="J50" s="81">
        <v>2</v>
      </c>
      <c r="K50" s="81">
        <v>3</v>
      </c>
      <c r="L50" s="80">
        <v>3</v>
      </c>
      <c r="M50" s="80">
        <v>4</v>
      </c>
      <c r="N50" s="81">
        <v>5</v>
      </c>
      <c r="O50" s="81">
        <v>5</v>
      </c>
      <c r="P50" s="81">
        <v>6</v>
      </c>
      <c r="Q50" s="81">
        <v>6</v>
      </c>
      <c r="R50" s="81">
        <v>7</v>
      </c>
      <c r="T50" s="81">
        <v>7</v>
      </c>
      <c r="U50" s="81">
        <v>6</v>
      </c>
      <c r="V50" s="81">
        <v>6</v>
      </c>
      <c r="W50" s="81">
        <v>4</v>
      </c>
      <c r="X50" s="81"/>
      <c r="Y50" s="81"/>
    </row>
    <row r="51" spans="1:25" x14ac:dyDescent="0.2">
      <c r="B51" s="54" t="s">
        <v>25</v>
      </c>
      <c r="C51" s="16">
        <v>5</v>
      </c>
      <c r="D51" s="16">
        <v>5</v>
      </c>
      <c r="E51" s="16">
        <v>4</v>
      </c>
      <c r="F51" s="16">
        <v>4</v>
      </c>
      <c r="G51" s="16">
        <v>4</v>
      </c>
      <c r="H51" s="16">
        <v>4</v>
      </c>
      <c r="I51" s="16">
        <v>5</v>
      </c>
      <c r="J51" s="81">
        <v>5</v>
      </c>
      <c r="K51" s="81">
        <v>5</v>
      </c>
      <c r="L51" s="80">
        <v>5</v>
      </c>
      <c r="M51" s="80">
        <v>5</v>
      </c>
      <c r="N51" s="81">
        <v>5</v>
      </c>
      <c r="O51" s="81">
        <v>5</v>
      </c>
      <c r="P51" s="81">
        <v>5</v>
      </c>
      <c r="Q51" s="81">
        <v>4</v>
      </c>
      <c r="R51" s="81">
        <v>5</v>
      </c>
      <c r="T51" s="81">
        <v>5</v>
      </c>
      <c r="U51" s="81">
        <v>6</v>
      </c>
      <c r="V51" s="81">
        <v>6</v>
      </c>
      <c r="W51" s="81">
        <v>8</v>
      </c>
      <c r="X51" s="81"/>
      <c r="Y51" s="81"/>
    </row>
    <row r="53" spans="1:25" x14ac:dyDescent="0.2">
      <c r="A53" s="1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9"/>
      <c r="B54" s="151" t="s">
        <v>175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6" spans="1:25" x14ac:dyDescent="0.2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S56" s="80" t="s">
        <v>0</v>
      </c>
    </row>
    <row r="62" spans="1:2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25" s="58" customFormat="1" ht="9" customHeight="1" x14ac:dyDescent="0.2"/>
    <row r="64" spans="1:25" x14ac:dyDescent="0.2">
      <c r="A64" s="394" t="e">
        <f>'3.06a'!A69:L69+1</f>
        <v>#VALUE!</v>
      </c>
      <c r="B64" s="39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394"/>
      <c r="R64" s="394"/>
      <c r="S64" s="394"/>
      <c r="T64" s="394"/>
      <c r="U64" s="394"/>
      <c r="V64" s="394"/>
      <c r="W64" s="394"/>
    </row>
  </sheetData>
  <mergeCells count="3">
    <mergeCell ref="M4:W4"/>
    <mergeCell ref="B8:W8"/>
    <mergeCell ref="A64:W64"/>
  </mergeCells>
  <phoneticPr fontId="0" type="noConversion"/>
  <pageMargins left="0.75" right="0.75" top="1" bottom="0.99" header="0.52" footer="0.5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57150</xdr:rowOff>
              </from>
              <to>
                <xdr:col>1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54"/>
  <sheetViews>
    <sheetView workbookViewId="0">
      <selection activeCell="R1" sqref="R1:R65536"/>
    </sheetView>
  </sheetViews>
  <sheetFormatPr defaultRowHeight="12.75" outlineLevelCol="1" x14ac:dyDescent="0.2"/>
  <cols>
    <col min="1" max="1" width="6.42578125" customWidth="1"/>
    <col min="2" max="2" width="1.7109375" customWidth="1"/>
    <col min="3" max="3" width="27.5703125" customWidth="1"/>
    <col min="4" max="4" width="0.42578125" customWidth="1"/>
    <col min="5" max="14" width="8.7109375" hidden="1" customWidth="1" outlineLevel="1"/>
    <col min="15" max="15" width="8.7109375" hidden="1" customWidth="1" collapsed="1"/>
    <col min="16" max="18" width="8.7109375" hidden="1" customWidth="1"/>
    <col min="19" max="20" width="8.7109375" customWidth="1"/>
    <col min="21" max="21" width="1.7109375" customWidth="1"/>
    <col min="22" max="22" width="8.7109375" customWidth="1"/>
    <col min="23" max="23" width="9" customWidth="1"/>
    <col min="24" max="25" width="8.42578125" customWidth="1"/>
  </cols>
  <sheetData>
    <row r="1" spans="1:25" ht="15.75" x14ac:dyDescent="0.25">
      <c r="A1" s="1" t="e">
        <f>#REF!</f>
        <v>#REF!</v>
      </c>
      <c r="B1" s="12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25" x14ac:dyDescent="0.2">
      <c r="W3" s="3"/>
    </row>
    <row r="4" spans="1:25" ht="14.25" x14ac:dyDescent="0.2">
      <c r="E4" s="21">
        <v>1980</v>
      </c>
      <c r="F4" s="21">
        <v>1981</v>
      </c>
      <c r="G4" s="21">
        <v>1982</v>
      </c>
      <c r="H4" s="21">
        <v>1983</v>
      </c>
      <c r="I4" s="21">
        <v>1984</v>
      </c>
      <c r="J4" s="21">
        <v>1985</v>
      </c>
      <c r="K4" s="21">
        <v>1986</v>
      </c>
      <c r="L4" s="21">
        <v>1987</v>
      </c>
      <c r="M4" s="21">
        <v>1988</v>
      </c>
      <c r="N4" s="21">
        <v>1989</v>
      </c>
      <c r="O4" s="21">
        <v>1990</v>
      </c>
      <c r="P4" s="21">
        <v>1991</v>
      </c>
      <c r="Q4" s="21">
        <v>1992</v>
      </c>
      <c r="R4" s="21">
        <v>1993</v>
      </c>
      <c r="S4" s="21">
        <v>1994</v>
      </c>
      <c r="T4" s="21">
        <v>1995</v>
      </c>
      <c r="U4" s="41">
        <v>1</v>
      </c>
      <c r="V4" s="21">
        <v>1996</v>
      </c>
      <c r="W4" s="21">
        <v>1997</v>
      </c>
      <c r="X4" s="21">
        <v>1998</v>
      </c>
      <c r="Y4" s="21">
        <v>1999</v>
      </c>
    </row>
    <row r="6" spans="1:25" x14ac:dyDescent="0.2">
      <c r="D6" s="10" t="s">
        <v>76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9" spans="1:25" x14ac:dyDescent="0.2">
      <c r="B9" s="5" t="s">
        <v>64</v>
      </c>
    </row>
    <row r="10" spans="1:25" x14ac:dyDescent="0.2">
      <c r="C10" t="s">
        <v>65</v>
      </c>
      <c r="O10" s="16">
        <v>126</v>
      </c>
      <c r="P10" s="16">
        <v>101</v>
      </c>
      <c r="Q10" s="16">
        <v>122</v>
      </c>
      <c r="R10" s="16">
        <v>97</v>
      </c>
      <c r="S10" s="16">
        <v>104</v>
      </c>
      <c r="T10" s="16">
        <v>0</v>
      </c>
      <c r="U10" s="16"/>
      <c r="V10" s="16"/>
    </row>
    <row r="11" spans="1:25" x14ac:dyDescent="0.2">
      <c r="C11" t="s">
        <v>66</v>
      </c>
      <c r="O11" s="16">
        <v>77</v>
      </c>
      <c r="P11" s="16">
        <v>42</v>
      </c>
      <c r="Q11" s="16">
        <v>67</v>
      </c>
      <c r="R11" s="16">
        <v>58</v>
      </c>
      <c r="S11" s="16">
        <v>68</v>
      </c>
      <c r="T11" s="16">
        <v>0</v>
      </c>
      <c r="U11" s="16"/>
      <c r="V11" s="16"/>
    </row>
    <row r="12" spans="1:25" x14ac:dyDescent="0.2">
      <c r="C12" t="s">
        <v>67</v>
      </c>
      <c r="O12" s="16">
        <f>-(O11/O10*100)</f>
        <v>-61.111111111111114</v>
      </c>
      <c r="P12" s="16">
        <f>-(P11/P10*100)</f>
        <v>-41.584158415841586</v>
      </c>
      <c r="Q12" s="16">
        <f>-(Q11/Q10*100)</f>
        <v>-54.918032786885249</v>
      </c>
      <c r="R12" s="16">
        <f>-(R11/R10*100)</f>
        <v>-59.793814432989691</v>
      </c>
      <c r="S12" s="16">
        <f>-(S11/S10*100)</f>
        <v>-65.384615384615387</v>
      </c>
      <c r="T12" s="16" t="s">
        <v>0</v>
      </c>
      <c r="U12" s="16"/>
      <c r="V12" s="16"/>
    </row>
    <row r="13" spans="1:25" x14ac:dyDescent="0.2">
      <c r="O13" s="16"/>
      <c r="P13" s="16"/>
      <c r="Q13" s="16"/>
      <c r="R13" s="16"/>
      <c r="S13" s="16"/>
      <c r="T13" s="16"/>
      <c r="U13" s="16"/>
      <c r="V13" s="16"/>
    </row>
    <row r="14" spans="1:25" x14ac:dyDescent="0.2">
      <c r="B14" s="5" t="s">
        <v>68</v>
      </c>
      <c r="O14" s="16"/>
      <c r="P14" s="16"/>
      <c r="Q14" s="16"/>
      <c r="R14" s="16"/>
      <c r="S14" s="16"/>
      <c r="T14" s="16"/>
      <c r="U14" s="16"/>
      <c r="V14" s="16"/>
    </row>
    <row r="15" spans="1:25" x14ac:dyDescent="0.2">
      <c r="C15" t="s">
        <v>65</v>
      </c>
      <c r="O15" s="16">
        <v>57</v>
      </c>
      <c r="P15" s="16">
        <v>65</v>
      </c>
      <c r="Q15" s="16">
        <v>48</v>
      </c>
      <c r="R15" s="16">
        <v>58</v>
      </c>
      <c r="S15" s="16">
        <v>37</v>
      </c>
      <c r="T15" s="16">
        <v>0</v>
      </c>
      <c r="U15" s="16"/>
      <c r="V15" s="16"/>
    </row>
    <row r="16" spans="1:25" x14ac:dyDescent="0.2">
      <c r="C16" t="s">
        <v>69</v>
      </c>
      <c r="O16" s="16">
        <v>36</v>
      </c>
      <c r="P16" s="16">
        <v>38</v>
      </c>
      <c r="Q16" s="16">
        <v>24</v>
      </c>
      <c r="R16" s="16">
        <v>18</v>
      </c>
      <c r="S16" s="16">
        <v>25</v>
      </c>
      <c r="T16" s="16">
        <v>0</v>
      </c>
      <c r="U16" s="16"/>
      <c r="V16" s="16"/>
    </row>
    <row r="17" spans="2:22" x14ac:dyDescent="0.2">
      <c r="C17" t="s">
        <v>67</v>
      </c>
      <c r="O17" s="16">
        <f>-(O16/O15*100)</f>
        <v>-63.157894736842103</v>
      </c>
      <c r="P17" s="16">
        <f>-(P16/P15*100)</f>
        <v>-58.461538461538467</v>
      </c>
      <c r="Q17" s="16">
        <f>-(Q16/Q15*100)</f>
        <v>-50</v>
      </c>
      <c r="R17" s="16">
        <f>-(R16/R15*100)</f>
        <v>-31.03448275862069</v>
      </c>
      <c r="S17" s="16">
        <f>-(S16/S15*100)</f>
        <v>-67.567567567567565</v>
      </c>
      <c r="T17" s="16" t="s">
        <v>0</v>
      </c>
      <c r="U17" s="16"/>
      <c r="V17" s="16"/>
    </row>
    <row r="18" spans="2:22" x14ac:dyDescent="0.2">
      <c r="C18" t="s">
        <v>70</v>
      </c>
      <c r="O18" s="16">
        <v>46</v>
      </c>
      <c r="P18" s="16">
        <v>50</v>
      </c>
      <c r="Q18" s="16">
        <v>37</v>
      </c>
      <c r="R18" s="16">
        <v>36</v>
      </c>
      <c r="S18" s="16">
        <v>31</v>
      </c>
      <c r="T18" s="16"/>
      <c r="U18" s="16"/>
      <c r="V18" s="16"/>
    </row>
    <row r="19" spans="2:22" x14ac:dyDescent="0.2">
      <c r="C19" t="s">
        <v>67</v>
      </c>
      <c r="O19" s="16">
        <f>-(O18/O15*100)</f>
        <v>-80.701754385964904</v>
      </c>
      <c r="P19" s="16">
        <f>-(P18/P15*100)</f>
        <v>-76.923076923076934</v>
      </c>
      <c r="Q19" s="16">
        <f>-(Q18/Q15*100)</f>
        <v>-77.083333333333343</v>
      </c>
      <c r="R19" s="16">
        <f>-(R18/R15*100)</f>
        <v>-62.068965517241381</v>
      </c>
      <c r="S19" s="16">
        <f>-(S18/S15*100)</f>
        <v>-83.78378378378379</v>
      </c>
      <c r="T19" s="16" t="s">
        <v>0</v>
      </c>
      <c r="U19" s="16"/>
      <c r="V19" s="16"/>
    </row>
    <row r="20" spans="2:22" x14ac:dyDescent="0.2">
      <c r="O20" s="16"/>
      <c r="P20" s="16"/>
      <c r="Q20" s="16"/>
      <c r="R20" s="16"/>
      <c r="S20" s="16"/>
      <c r="T20" s="16"/>
      <c r="U20" s="16"/>
      <c r="V20" s="16"/>
    </row>
    <row r="21" spans="2:22" x14ac:dyDescent="0.2">
      <c r="B21" s="5" t="s">
        <v>71</v>
      </c>
      <c r="O21" s="16"/>
      <c r="P21" s="16"/>
      <c r="Q21" s="16"/>
      <c r="R21" s="16"/>
      <c r="S21" s="16"/>
      <c r="T21" s="16"/>
      <c r="U21" s="16"/>
      <c r="V21" s="16"/>
    </row>
    <row r="22" spans="2:22" x14ac:dyDescent="0.2">
      <c r="C22" t="s">
        <v>65</v>
      </c>
      <c r="O22" s="16">
        <v>1417</v>
      </c>
      <c r="P22" s="16">
        <v>1342</v>
      </c>
      <c r="Q22" s="16">
        <v>1419</v>
      </c>
      <c r="R22" s="16">
        <v>1250</v>
      </c>
      <c r="S22" s="16">
        <v>654</v>
      </c>
      <c r="T22" s="16"/>
      <c r="U22" s="16"/>
      <c r="V22" s="16"/>
    </row>
    <row r="23" spans="2:22" x14ac:dyDescent="0.2">
      <c r="C23" t="s">
        <v>69</v>
      </c>
      <c r="O23" s="16">
        <v>408</v>
      </c>
      <c r="P23" s="16">
        <v>398</v>
      </c>
      <c r="Q23" s="16">
        <v>498</v>
      </c>
      <c r="R23" s="16">
        <v>371</v>
      </c>
      <c r="S23" s="16">
        <v>437</v>
      </c>
      <c r="T23" s="16"/>
      <c r="U23" s="16"/>
      <c r="V23" s="16"/>
    </row>
    <row r="24" spans="2:22" x14ac:dyDescent="0.2">
      <c r="C24" t="s">
        <v>67</v>
      </c>
      <c r="O24" s="16">
        <f>-(O23/O22*100)</f>
        <v>-28.793225123500356</v>
      </c>
      <c r="P24" s="16">
        <f>-(P23/P22*100)</f>
        <v>-29.657228017883757</v>
      </c>
      <c r="Q24" s="16">
        <f>-(Q23/Q22*100)</f>
        <v>-35.095137420718814</v>
      </c>
      <c r="R24" s="16">
        <f>-(R23/R22*100)</f>
        <v>-29.68</v>
      </c>
      <c r="S24" s="16">
        <f>-(S23/S22*100)</f>
        <v>-66.819571865443422</v>
      </c>
      <c r="T24" s="16" t="s">
        <v>0</v>
      </c>
      <c r="U24" s="16"/>
      <c r="V24" s="16"/>
    </row>
    <row r="25" spans="2:22" x14ac:dyDescent="0.2">
      <c r="C25" t="s">
        <v>70</v>
      </c>
      <c r="O25" s="16">
        <v>1254</v>
      </c>
      <c r="P25" s="16">
        <v>1225</v>
      </c>
      <c r="Q25" s="16">
        <v>1335</v>
      </c>
      <c r="R25" s="16">
        <v>1151</v>
      </c>
      <c r="S25" s="16">
        <v>624</v>
      </c>
      <c r="T25" s="16"/>
      <c r="U25" s="16"/>
      <c r="V25" s="16"/>
    </row>
    <row r="26" spans="2:22" x14ac:dyDescent="0.2">
      <c r="C26" t="s">
        <v>67</v>
      </c>
      <c r="O26" s="16">
        <f>-(O25/O22*100)</f>
        <v>-88.496824276640794</v>
      </c>
      <c r="P26" s="16">
        <f>-(P25/P22*100)</f>
        <v>-91.281669150521608</v>
      </c>
      <c r="Q26" s="16">
        <f>-(Q25/Q22*100)</f>
        <v>-94.080338266384771</v>
      </c>
      <c r="R26" s="16">
        <f>-(R25/R22*100)</f>
        <v>-92.08</v>
      </c>
      <c r="S26" s="16">
        <f>-(S25/S22*100)</f>
        <v>-95.412844036697251</v>
      </c>
      <c r="T26" s="16" t="s">
        <v>0</v>
      </c>
      <c r="U26" s="16"/>
      <c r="V26" s="16"/>
    </row>
    <row r="27" spans="2:22" x14ac:dyDescent="0.2">
      <c r="O27" s="16"/>
      <c r="P27" s="16"/>
      <c r="Q27" s="16"/>
      <c r="R27" s="16"/>
      <c r="S27" s="16"/>
      <c r="T27" s="16"/>
      <c r="U27" s="16"/>
      <c r="V27" s="16"/>
    </row>
    <row r="28" spans="2:22" x14ac:dyDescent="0.2">
      <c r="B28" s="5" t="s">
        <v>72</v>
      </c>
      <c r="O28" s="16"/>
      <c r="P28" s="16"/>
      <c r="Q28" s="16"/>
      <c r="R28" s="16"/>
      <c r="S28" s="16"/>
      <c r="T28" s="16"/>
      <c r="U28" s="16"/>
      <c r="V28" s="16"/>
    </row>
    <row r="29" spans="2:22" x14ac:dyDescent="0.2">
      <c r="C29" t="s">
        <v>65</v>
      </c>
      <c r="O29" s="16">
        <v>498</v>
      </c>
      <c r="P29" s="16">
        <v>320</v>
      </c>
      <c r="Q29" s="16">
        <v>273</v>
      </c>
      <c r="R29" s="16">
        <v>341</v>
      </c>
      <c r="S29" s="16">
        <v>995</v>
      </c>
      <c r="T29" s="16"/>
      <c r="U29" s="16"/>
      <c r="V29" s="16"/>
    </row>
    <row r="30" spans="2:22" x14ac:dyDescent="0.2">
      <c r="C30" t="s">
        <v>66</v>
      </c>
      <c r="O30" s="16">
        <v>342</v>
      </c>
      <c r="P30" s="16">
        <v>280</v>
      </c>
      <c r="Q30" s="16">
        <v>268</v>
      </c>
      <c r="R30" s="16">
        <v>311</v>
      </c>
      <c r="S30" s="16">
        <v>947</v>
      </c>
      <c r="T30" s="16"/>
      <c r="U30" s="16"/>
      <c r="V30" s="16"/>
    </row>
    <row r="31" spans="2:22" x14ac:dyDescent="0.2">
      <c r="C31" t="s">
        <v>67</v>
      </c>
      <c r="O31" s="16">
        <f>-(O30/O29*100)</f>
        <v>-68.674698795180717</v>
      </c>
      <c r="P31" s="16">
        <f>-(P30/P29*100)</f>
        <v>-87.5</v>
      </c>
      <c r="Q31" s="16">
        <f>-(Q30/Q29*100)</f>
        <v>-98.168498168498161</v>
      </c>
      <c r="R31" s="16">
        <f>-(R30/R29*100)</f>
        <v>-91.202346041055719</v>
      </c>
      <c r="S31" s="16">
        <f>-(S30/S29*100)</f>
        <v>-95.175879396984925</v>
      </c>
      <c r="T31" s="16" t="s">
        <v>0</v>
      </c>
      <c r="U31" s="16"/>
      <c r="V31" s="16"/>
    </row>
    <row r="32" spans="2:22" x14ac:dyDescent="0.2">
      <c r="O32" s="16"/>
      <c r="P32" s="16"/>
      <c r="Q32" s="16"/>
      <c r="R32" s="16"/>
      <c r="S32" s="16"/>
      <c r="T32" s="16"/>
      <c r="U32" s="16"/>
      <c r="V32" s="16"/>
    </row>
    <row r="33" spans="1:23" x14ac:dyDescent="0.2">
      <c r="B33" s="5" t="s">
        <v>73</v>
      </c>
      <c r="O33" s="16"/>
      <c r="P33" s="16"/>
      <c r="Q33" s="16"/>
      <c r="R33" s="16"/>
      <c r="S33" s="16"/>
      <c r="T33" s="16"/>
      <c r="U33" s="16"/>
      <c r="V33" s="16"/>
    </row>
    <row r="34" spans="1:23" x14ac:dyDescent="0.2">
      <c r="C34" t="s">
        <v>74</v>
      </c>
      <c r="O34" s="16">
        <v>521</v>
      </c>
      <c r="P34" s="16">
        <v>478</v>
      </c>
      <c r="Q34" s="16">
        <v>589</v>
      </c>
      <c r="R34" s="16">
        <v>447</v>
      </c>
      <c r="S34" s="16">
        <v>530</v>
      </c>
    </row>
    <row r="35" spans="1:23" x14ac:dyDescent="0.2">
      <c r="C35" t="s">
        <v>75</v>
      </c>
      <c r="O35" s="16">
        <f t="shared" ref="O35:T35" si="0">O30+O25+O18+O11</f>
        <v>1719</v>
      </c>
      <c r="P35" s="16">
        <f t="shared" si="0"/>
        <v>1597</v>
      </c>
      <c r="Q35" s="16">
        <f t="shared" si="0"/>
        <v>1707</v>
      </c>
      <c r="R35" s="16">
        <f t="shared" si="0"/>
        <v>1556</v>
      </c>
      <c r="S35" s="16">
        <f t="shared" si="0"/>
        <v>1670</v>
      </c>
      <c r="T35" s="16">
        <f t="shared" si="0"/>
        <v>0</v>
      </c>
      <c r="U35" s="16"/>
      <c r="V35" s="16"/>
    </row>
    <row r="36" spans="1:2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8" spans="1:23" x14ac:dyDescent="0.2">
      <c r="A38" s="5" t="s">
        <v>19</v>
      </c>
    </row>
    <row r="39" spans="1:23" ht="14.25" x14ac:dyDescent="0.2">
      <c r="B39" s="25">
        <v>1</v>
      </c>
      <c r="C39" t="s">
        <v>77</v>
      </c>
    </row>
    <row r="52" spans="1:23" x14ac:dyDescent="0.2">
      <c r="A52" s="11" t="s">
        <v>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0" t="e">
        <f>#REF!+1</f>
        <v>#REF!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phoneticPr fontId="0" type="noConversion"/>
  <printOptions horizontalCentered="1"/>
  <pageMargins left="1" right="1" top="1" bottom="0.5" header="0.5" footer="0.5"/>
  <pageSetup scale="9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58"/>
  <sheetViews>
    <sheetView zoomScaleNormal="100" zoomScaleSheetLayoutView="100" workbookViewId="0">
      <selection activeCell="H3" sqref="H3"/>
    </sheetView>
  </sheetViews>
  <sheetFormatPr defaultRowHeight="12.75" x14ac:dyDescent="0.2"/>
  <cols>
    <col min="1" max="1" width="9.140625" style="29"/>
    <col min="2" max="2" width="7.85546875" style="29" customWidth="1"/>
    <col min="3" max="3" width="32.7109375" style="29" customWidth="1"/>
    <col min="4" max="4" width="3.7109375" style="29" customWidth="1"/>
    <col min="5" max="5" width="10.85546875" style="29" customWidth="1"/>
    <col min="6" max="16384" width="9.140625" style="29"/>
  </cols>
  <sheetData>
    <row r="3" spans="2:13" ht="15" x14ac:dyDescent="0.25">
      <c r="H3" s="545" t="s">
        <v>340</v>
      </c>
    </row>
    <row r="4" spans="2:13" ht="15" x14ac:dyDescent="0.25">
      <c r="D4" s="512"/>
      <c r="E4" s="512"/>
    </row>
    <row r="5" spans="2:13" ht="9" customHeight="1" x14ac:dyDescent="0.2"/>
    <row r="7" spans="2:13" ht="12.75" customHeight="1" x14ac:dyDescent="0.2">
      <c r="C7" s="364"/>
    </row>
    <row r="8" spans="2:13" ht="15.75" x14ac:dyDescent="0.25">
      <c r="B8" s="334">
        <v>3.05</v>
      </c>
      <c r="C8" s="368" t="s">
        <v>335</v>
      </c>
      <c r="D8" s="368"/>
      <c r="E8" s="368"/>
    </row>
    <row r="9" spans="2:13" ht="12.75" customHeight="1" x14ac:dyDescent="0.2">
      <c r="B9" s="429"/>
      <c r="C9" s="467"/>
    </row>
    <row r="10" spans="2:13" x14ac:dyDescent="0.2">
      <c r="D10" s="63"/>
      <c r="E10" s="63"/>
      <c r="F10" s="49"/>
    </row>
    <row r="11" spans="2:13" x14ac:dyDescent="0.2">
      <c r="C11" s="50" t="s">
        <v>129</v>
      </c>
      <c r="D11" s="561"/>
      <c r="E11" s="559">
        <v>2011</v>
      </c>
      <c r="F11" s="50">
        <v>2012</v>
      </c>
      <c r="G11" s="50">
        <v>2013</v>
      </c>
      <c r="H11" s="50">
        <v>2014</v>
      </c>
      <c r="I11" s="50">
        <v>2015</v>
      </c>
      <c r="J11" s="50">
        <v>2016</v>
      </c>
      <c r="K11" s="50">
        <v>2017</v>
      </c>
      <c r="L11" s="64"/>
      <c r="M11" s="64"/>
    </row>
    <row r="12" spans="2:13" x14ac:dyDescent="0.2">
      <c r="G12" s="49"/>
      <c r="H12" s="49"/>
      <c r="I12" s="49"/>
      <c r="J12" s="49"/>
      <c r="K12" s="49"/>
    </row>
    <row r="13" spans="2:13" ht="14.25" x14ac:dyDescent="0.2">
      <c r="C13" s="429" t="s">
        <v>130</v>
      </c>
      <c r="D13" s="562"/>
      <c r="E13" s="111">
        <f t="shared" ref="E13" si="0">SUM(E14:E15)</f>
        <v>128</v>
      </c>
      <c r="F13" s="111">
        <v>123</v>
      </c>
      <c r="G13" s="64">
        <v>135</v>
      </c>
      <c r="H13" s="64">
        <f>SUM(H14:H15)</f>
        <v>139</v>
      </c>
      <c r="I13" s="64">
        <v>129</v>
      </c>
      <c r="J13" s="64">
        <v>154</v>
      </c>
      <c r="K13" s="563">
        <v>137</v>
      </c>
    </row>
    <row r="14" spans="2:13" ht="14.25" x14ac:dyDescent="0.2">
      <c r="C14" s="564" t="s">
        <v>131</v>
      </c>
      <c r="D14" s="562"/>
      <c r="E14" s="565">
        <v>47</v>
      </c>
      <c r="F14" s="565">
        <v>28</v>
      </c>
      <c r="G14" s="49">
        <v>35</v>
      </c>
      <c r="H14" s="49">
        <v>42</v>
      </c>
      <c r="I14" s="49">
        <v>52</v>
      </c>
      <c r="J14" s="49">
        <v>62</v>
      </c>
      <c r="K14" s="49">
        <v>40</v>
      </c>
    </row>
    <row r="15" spans="2:13" ht="14.25" x14ac:dyDescent="0.2">
      <c r="C15" s="564" t="s">
        <v>132</v>
      </c>
      <c r="D15" s="562"/>
      <c r="E15" s="565">
        <v>81</v>
      </c>
      <c r="F15" s="565">
        <v>95</v>
      </c>
      <c r="G15" s="49">
        <v>100</v>
      </c>
      <c r="H15" s="49">
        <v>97</v>
      </c>
      <c r="I15" s="49">
        <v>77</v>
      </c>
      <c r="J15" s="49">
        <v>92</v>
      </c>
      <c r="K15" s="49">
        <v>97</v>
      </c>
    </row>
    <row r="16" spans="2:13" x14ac:dyDescent="0.2">
      <c r="C16" s="280"/>
      <c r="D16" s="565"/>
      <c r="G16" s="49"/>
      <c r="H16" s="49"/>
      <c r="I16" s="49"/>
      <c r="J16" s="49"/>
      <c r="K16" s="49"/>
    </row>
    <row r="17" spans="3:14" ht="14.25" x14ac:dyDescent="0.2">
      <c r="C17" s="429" t="s">
        <v>120</v>
      </c>
      <c r="D17" s="562"/>
      <c r="E17" s="111">
        <f>SUM(E18:E19)</f>
        <v>772</v>
      </c>
      <c r="F17" s="111">
        <v>724</v>
      </c>
      <c r="G17" s="64">
        <v>659</v>
      </c>
      <c r="H17" s="64">
        <f>SUM(H18:H19)</f>
        <v>745</v>
      </c>
      <c r="I17" s="64">
        <v>722</v>
      </c>
      <c r="J17" s="64">
        <v>738</v>
      </c>
      <c r="K17" s="563">
        <v>759</v>
      </c>
    </row>
    <row r="18" spans="3:14" ht="14.25" x14ac:dyDescent="0.2">
      <c r="C18" s="564" t="s">
        <v>131</v>
      </c>
      <c r="D18" s="562"/>
      <c r="E18" s="565">
        <v>298</v>
      </c>
      <c r="F18" s="565">
        <v>379</v>
      </c>
      <c r="G18" s="49">
        <v>407</v>
      </c>
      <c r="H18" s="49">
        <v>264</v>
      </c>
      <c r="I18" s="49">
        <v>220</v>
      </c>
      <c r="J18" s="49">
        <v>316</v>
      </c>
      <c r="K18" s="49">
        <v>334</v>
      </c>
    </row>
    <row r="19" spans="3:14" ht="14.25" x14ac:dyDescent="0.2">
      <c r="C19" s="564" t="s">
        <v>132</v>
      </c>
      <c r="D19" s="562"/>
      <c r="E19" s="565">
        <v>474</v>
      </c>
      <c r="F19" s="565">
        <v>345</v>
      </c>
      <c r="G19" s="49">
        <v>252</v>
      </c>
      <c r="H19" s="49">
        <v>481</v>
      </c>
      <c r="I19" s="49">
        <v>502</v>
      </c>
      <c r="J19" s="49">
        <v>422</v>
      </c>
      <c r="K19" s="49">
        <v>425</v>
      </c>
    </row>
    <row r="20" spans="3:14" x14ac:dyDescent="0.2">
      <c r="C20" s="564"/>
      <c r="D20" s="565"/>
      <c r="G20" s="49"/>
      <c r="H20" s="49"/>
      <c r="I20" s="49"/>
      <c r="J20" s="49"/>
      <c r="K20" s="49"/>
      <c r="N20" s="429"/>
    </row>
    <row r="21" spans="3:14" ht="14.25" x14ac:dyDescent="0.2">
      <c r="C21" s="550" t="s">
        <v>162</v>
      </c>
      <c r="D21" s="111"/>
      <c r="E21" s="111">
        <f>SUM(E22:E28)</f>
        <v>67</v>
      </c>
      <c r="F21" s="111">
        <v>69</v>
      </c>
      <c r="G21" s="98">
        <v>49</v>
      </c>
      <c r="H21" s="98">
        <f>SUM(H22:H29)</f>
        <v>74</v>
      </c>
      <c r="I21" s="98">
        <v>65</v>
      </c>
      <c r="J21" s="98">
        <v>85</v>
      </c>
      <c r="K21" s="566">
        <v>94</v>
      </c>
    </row>
    <row r="22" spans="3:14" x14ac:dyDescent="0.2">
      <c r="C22" s="564" t="s">
        <v>121</v>
      </c>
      <c r="D22" s="565"/>
      <c r="E22" s="565">
        <v>13</v>
      </c>
      <c r="F22" s="565">
        <v>11</v>
      </c>
      <c r="G22" s="62">
        <v>15</v>
      </c>
      <c r="H22" s="62">
        <v>18</v>
      </c>
      <c r="I22" s="62">
        <v>13</v>
      </c>
      <c r="J22" s="62">
        <v>13</v>
      </c>
      <c r="K22" s="62">
        <v>16</v>
      </c>
    </row>
    <row r="23" spans="3:14" x14ac:dyDescent="0.2">
      <c r="C23" s="564" t="s">
        <v>122</v>
      </c>
      <c r="D23" s="565"/>
      <c r="E23" s="565">
        <v>15</v>
      </c>
      <c r="F23" s="565">
        <v>8</v>
      </c>
      <c r="G23" s="62">
        <v>8</v>
      </c>
      <c r="H23" s="62">
        <v>17</v>
      </c>
      <c r="I23" s="62">
        <v>12</v>
      </c>
      <c r="J23" s="62">
        <v>19</v>
      </c>
      <c r="K23" s="62">
        <v>17</v>
      </c>
    </row>
    <row r="24" spans="3:14" x14ac:dyDescent="0.2">
      <c r="C24" s="564" t="s">
        <v>123</v>
      </c>
      <c r="D24" s="565"/>
      <c r="E24" s="565" t="s">
        <v>109</v>
      </c>
      <c r="F24" s="565" t="s">
        <v>109</v>
      </c>
      <c r="G24" s="565" t="s">
        <v>109</v>
      </c>
      <c r="H24" s="565">
        <v>0</v>
      </c>
      <c r="I24" s="565" t="s">
        <v>78</v>
      </c>
      <c r="J24" s="567" t="s">
        <v>78</v>
      </c>
      <c r="K24" s="567" t="s">
        <v>78</v>
      </c>
    </row>
    <row r="25" spans="3:14" x14ac:dyDescent="0.2">
      <c r="C25" s="564" t="s">
        <v>124</v>
      </c>
      <c r="D25" s="565"/>
      <c r="E25" s="565">
        <v>12</v>
      </c>
      <c r="F25" s="565">
        <v>9</v>
      </c>
      <c r="G25" s="62">
        <v>7</v>
      </c>
      <c r="H25" s="62">
        <v>9</v>
      </c>
      <c r="I25" s="62">
        <v>12</v>
      </c>
      <c r="J25" s="62">
        <v>7</v>
      </c>
      <c r="K25" s="62">
        <v>14</v>
      </c>
    </row>
    <row r="26" spans="3:14" x14ac:dyDescent="0.2">
      <c r="C26" s="564" t="s">
        <v>36</v>
      </c>
      <c r="D26" s="565"/>
      <c r="E26" s="565">
        <v>10</v>
      </c>
      <c r="F26" s="565">
        <v>6</v>
      </c>
      <c r="G26" s="62">
        <v>6</v>
      </c>
      <c r="H26" s="62">
        <v>25</v>
      </c>
      <c r="I26" s="62">
        <v>28</v>
      </c>
      <c r="J26" s="62">
        <v>46</v>
      </c>
      <c r="K26" s="62">
        <v>39</v>
      </c>
    </row>
    <row r="27" spans="3:14" x14ac:dyDescent="0.2">
      <c r="C27" s="564" t="s">
        <v>133</v>
      </c>
      <c r="D27" s="565"/>
      <c r="E27" s="565">
        <v>7</v>
      </c>
      <c r="F27" s="565">
        <v>6</v>
      </c>
      <c r="G27" s="62">
        <v>6</v>
      </c>
      <c r="H27" s="62">
        <v>5</v>
      </c>
      <c r="I27" s="62" t="s">
        <v>78</v>
      </c>
      <c r="J27" s="341" t="s">
        <v>78</v>
      </c>
      <c r="K27" s="341" t="s">
        <v>78</v>
      </c>
    </row>
    <row r="28" spans="3:14" x14ac:dyDescent="0.2">
      <c r="C28" s="564" t="s">
        <v>180</v>
      </c>
      <c r="D28" s="565"/>
      <c r="E28" s="565">
        <v>10</v>
      </c>
      <c r="F28" s="565">
        <v>12</v>
      </c>
      <c r="G28" s="62">
        <v>3</v>
      </c>
      <c r="H28" s="565">
        <v>0</v>
      </c>
      <c r="I28" s="62" t="s">
        <v>78</v>
      </c>
      <c r="J28" s="341" t="s">
        <v>78</v>
      </c>
      <c r="K28" s="341" t="s">
        <v>78</v>
      </c>
    </row>
    <row r="29" spans="3:14" x14ac:dyDescent="0.2">
      <c r="C29" s="564" t="s">
        <v>282</v>
      </c>
      <c r="F29" s="565">
        <v>17</v>
      </c>
      <c r="G29" s="62">
        <v>4</v>
      </c>
      <c r="H29" s="565">
        <v>0</v>
      </c>
      <c r="I29" s="62" t="s">
        <v>78</v>
      </c>
      <c r="J29" s="341" t="s">
        <v>78</v>
      </c>
      <c r="K29" s="341">
        <v>8</v>
      </c>
    </row>
    <row r="30" spans="3:14" x14ac:dyDescent="0.2">
      <c r="C30" s="564"/>
      <c r="G30" s="62"/>
      <c r="H30" s="62"/>
      <c r="I30" s="62"/>
      <c r="J30" s="62"/>
      <c r="K30" s="62"/>
    </row>
    <row r="31" spans="3:14" ht="14.25" x14ac:dyDescent="0.2">
      <c r="C31" s="550" t="s">
        <v>163</v>
      </c>
      <c r="D31" s="111"/>
      <c r="E31" s="111">
        <f t="shared" ref="E31" si="1">SUM(E32:E37)</f>
        <v>39</v>
      </c>
      <c r="F31" s="111">
        <v>47</v>
      </c>
      <c r="G31" s="98">
        <v>34</v>
      </c>
      <c r="H31" s="569">
        <f>SUM(H32:H36)</f>
        <v>37</v>
      </c>
      <c r="I31" s="569">
        <v>30</v>
      </c>
      <c r="J31" s="569">
        <v>22</v>
      </c>
      <c r="K31" s="570">
        <v>5</v>
      </c>
    </row>
    <row r="32" spans="3:14" x14ac:dyDescent="0.2">
      <c r="C32" s="564" t="s">
        <v>125</v>
      </c>
      <c r="D32" s="565"/>
      <c r="E32" s="565" t="s">
        <v>109</v>
      </c>
      <c r="F32" s="565">
        <v>0</v>
      </c>
      <c r="G32" s="565">
        <v>0</v>
      </c>
      <c r="H32" s="565">
        <v>0</v>
      </c>
      <c r="I32" s="565" t="s">
        <v>78</v>
      </c>
      <c r="J32" s="565" t="s">
        <v>78</v>
      </c>
      <c r="K32" s="565" t="s">
        <v>78</v>
      </c>
    </row>
    <row r="33" spans="3:16" x14ac:dyDescent="0.2">
      <c r="C33" s="564" t="s">
        <v>134</v>
      </c>
      <c r="D33" s="571"/>
      <c r="E33" s="565" t="s">
        <v>109</v>
      </c>
      <c r="F33" s="565">
        <v>0</v>
      </c>
      <c r="G33" s="565">
        <v>0</v>
      </c>
      <c r="H33" s="565">
        <v>0</v>
      </c>
      <c r="I33" s="565" t="s">
        <v>78</v>
      </c>
      <c r="J33" s="565" t="s">
        <v>78</v>
      </c>
      <c r="K33" s="565" t="s">
        <v>78</v>
      </c>
    </row>
    <row r="34" spans="3:16" x14ac:dyDescent="0.2">
      <c r="C34" s="564" t="s">
        <v>126</v>
      </c>
      <c r="D34" s="565"/>
      <c r="E34" s="565">
        <v>10</v>
      </c>
      <c r="F34" s="565">
        <v>10</v>
      </c>
      <c r="G34" s="62">
        <v>17</v>
      </c>
      <c r="H34" s="62">
        <v>17</v>
      </c>
      <c r="I34" s="62">
        <v>8</v>
      </c>
      <c r="J34" s="62">
        <v>10</v>
      </c>
      <c r="K34" s="62">
        <v>5</v>
      </c>
    </row>
    <row r="35" spans="3:16" x14ac:dyDescent="0.2">
      <c r="C35" s="564" t="s">
        <v>127</v>
      </c>
      <c r="D35" s="565"/>
      <c r="E35" s="565">
        <v>29</v>
      </c>
      <c r="F35" s="565">
        <v>37</v>
      </c>
      <c r="G35" s="62">
        <v>17</v>
      </c>
      <c r="H35" s="62">
        <v>20</v>
      </c>
      <c r="I35" s="62">
        <v>22</v>
      </c>
      <c r="J35" s="62">
        <v>12</v>
      </c>
      <c r="K35" s="62" t="s">
        <v>78</v>
      </c>
    </row>
    <row r="36" spans="3:16" x14ac:dyDescent="0.2">
      <c r="C36" s="564" t="s">
        <v>128</v>
      </c>
      <c r="D36" s="565"/>
      <c r="E36" s="565" t="s">
        <v>109</v>
      </c>
      <c r="F36" s="565" t="s">
        <v>109</v>
      </c>
      <c r="G36" s="565" t="s">
        <v>109</v>
      </c>
      <c r="H36" s="565">
        <v>0</v>
      </c>
      <c r="I36" s="565" t="s">
        <v>78</v>
      </c>
      <c r="J36" s="565" t="s">
        <v>78</v>
      </c>
      <c r="K36" s="565" t="s">
        <v>78</v>
      </c>
    </row>
    <row r="37" spans="3:16" x14ac:dyDescent="0.2">
      <c r="C37" s="564"/>
      <c r="D37" s="565"/>
      <c r="G37" s="62"/>
      <c r="H37" s="62"/>
      <c r="I37" s="62"/>
      <c r="J37" s="62"/>
      <c r="K37" s="62"/>
    </row>
    <row r="38" spans="3:16" x14ac:dyDescent="0.2">
      <c r="C38" s="564"/>
      <c r="D38" s="565"/>
      <c r="G38" s="62"/>
      <c r="H38" s="62"/>
      <c r="I38" s="62"/>
      <c r="J38" s="62"/>
      <c r="K38" s="62"/>
    </row>
    <row r="39" spans="3:16" ht="14.25" x14ac:dyDescent="0.2">
      <c r="C39" s="572" t="s">
        <v>164</v>
      </c>
      <c r="D39" s="111"/>
      <c r="E39" s="111">
        <f>SUM(E40:E43)</f>
        <v>27</v>
      </c>
      <c r="F39" s="111">
        <v>40</v>
      </c>
      <c r="G39" s="98">
        <v>55</v>
      </c>
      <c r="H39" s="98">
        <f>SUM(H40:H43)</f>
        <v>44</v>
      </c>
      <c r="I39" s="98">
        <v>26</v>
      </c>
      <c r="J39" s="98">
        <v>25</v>
      </c>
      <c r="K39" s="566">
        <v>13</v>
      </c>
    </row>
    <row r="40" spans="3:16" x14ac:dyDescent="0.2">
      <c r="C40" s="564" t="s">
        <v>39</v>
      </c>
      <c r="D40" s="565"/>
      <c r="E40" s="565">
        <v>13</v>
      </c>
      <c r="F40" s="565">
        <v>9</v>
      </c>
      <c r="G40" s="62">
        <v>10</v>
      </c>
      <c r="H40" s="62">
        <v>8</v>
      </c>
      <c r="I40" s="62">
        <v>1</v>
      </c>
      <c r="J40" s="62">
        <v>0</v>
      </c>
      <c r="K40" s="62">
        <v>1</v>
      </c>
    </row>
    <row r="41" spans="3:16" x14ac:dyDescent="0.2">
      <c r="C41" s="564" t="s">
        <v>141</v>
      </c>
      <c r="D41" s="565"/>
      <c r="E41" s="574">
        <v>0</v>
      </c>
      <c r="F41" s="574">
        <v>0</v>
      </c>
      <c r="G41" s="62">
        <v>2</v>
      </c>
      <c r="H41" s="62">
        <v>6</v>
      </c>
      <c r="I41" s="62">
        <v>5</v>
      </c>
      <c r="J41" s="62">
        <v>3</v>
      </c>
      <c r="K41" s="62">
        <v>4</v>
      </c>
    </row>
    <row r="42" spans="3:16" x14ac:dyDescent="0.2">
      <c r="C42" s="564" t="s">
        <v>142</v>
      </c>
      <c r="D42" s="565"/>
      <c r="E42" s="565">
        <v>0</v>
      </c>
      <c r="F42" s="565">
        <v>22</v>
      </c>
      <c r="G42" s="29">
        <v>22</v>
      </c>
      <c r="H42" s="29">
        <v>9</v>
      </c>
      <c r="I42" s="29">
        <v>12</v>
      </c>
      <c r="J42" s="29">
        <v>9</v>
      </c>
      <c r="K42" s="29">
        <v>0</v>
      </c>
    </row>
    <row r="43" spans="3:16" x14ac:dyDescent="0.2">
      <c r="C43" s="564" t="s">
        <v>144</v>
      </c>
      <c r="D43" s="565"/>
      <c r="E43" s="565">
        <v>14</v>
      </c>
      <c r="F43" s="565">
        <v>9</v>
      </c>
      <c r="G43" s="341">
        <v>21</v>
      </c>
      <c r="H43" s="341">
        <v>21</v>
      </c>
      <c r="I43" s="341">
        <v>8</v>
      </c>
      <c r="J43" s="341">
        <v>13</v>
      </c>
      <c r="K43" s="341">
        <v>8</v>
      </c>
      <c r="L43" s="98"/>
      <c r="M43" s="98"/>
      <c r="N43" s="98"/>
      <c r="O43" s="98"/>
      <c r="P43" s="98"/>
    </row>
    <row r="44" spans="3:16" x14ac:dyDescent="0.2">
      <c r="G44" s="62"/>
      <c r="H44" s="62"/>
      <c r="I44" s="62"/>
      <c r="J44" s="62"/>
      <c r="K44" s="62"/>
      <c r="L44" s="99"/>
      <c r="M44" s="99"/>
      <c r="N44" s="99"/>
      <c r="O44" s="99"/>
    </row>
    <row r="45" spans="3:16" ht="14.25" x14ac:dyDescent="0.2">
      <c r="C45" s="572" t="s">
        <v>165</v>
      </c>
      <c r="D45" s="575"/>
      <c r="E45" s="111">
        <v>101</v>
      </c>
      <c r="F45" s="111">
        <v>119</v>
      </c>
      <c r="G45" s="98">
        <v>144</v>
      </c>
      <c r="H45" s="98">
        <v>153</v>
      </c>
      <c r="I45" s="98">
        <v>122</v>
      </c>
      <c r="J45" s="98">
        <v>103</v>
      </c>
      <c r="K45" s="566">
        <v>183</v>
      </c>
    </row>
    <row r="46" spans="3:16" ht="13.5" x14ac:dyDescent="0.2">
      <c r="C46" s="572"/>
      <c r="D46" s="575"/>
      <c r="E46" s="111"/>
      <c r="F46" s="111"/>
      <c r="G46" s="98"/>
      <c r="H46" s="98"/>
      <c r="I46" s="98"/>
      <c r="J46" s="98"/>
      <c r="K46" s="566"/>
    </row>
    <row r="47" spans="3:16" ht="14.25" x14ac:dyDescent="0.2">
      <c r="C47" s="576" t="s">
        <v>315</v>
      </c>
      <c r="D47" s="577"/>
      <c r="E47" s="63"/>
      <c r="F47" s="63"/>
      <c r="G47" s="561">
        <v>71</v>
      </c>
      <c r="H47" s="561"/>
      <c r="I47" s="561">
        <v>27</v>
      </c>
      <c r="J47" s="561">
        <v>30</v>
      </c>
      <c r="K47" s="578">
        <v>23</v>
      </c>
    </row>
    <row r="48" spans="3:16" x14ac:dyDescent="0.2">
      <c r="C48" s="579"/>
      <c r="D48" s="155"/>
      <c r="E48" s="49"/>
      <c r="F48" s="49"/>
      <c r="G48" s="62"/>
      <c r="H48" s="62"/>
      <c r="I48" s="62"/>
      <c r="J48" s="62"/>
      <c r="K48" s="62"/>
    </row>
    <row r="49" spans="2:14" x14ac:dyDescent="0.2">
      <c r="C49" s="550" t="s">
        <v>118</v>
      </c>
      <c r="D49" s="155"/>
      <c r="E49" s="155"/>
      <c r="F49" s="62"/>
      <c r="G49" s="62"/>
      <c r="H49" s="62"/>
      <c r="I49" s="62"/>
      <c r="J49" s="62"/>
      <c r="K49" s="62"/>
    </row>
    <row r="50" spans="2:14" ht="17.25" customHeight="1" x14ac:dyDescent="0.2">
      <c r="B50" s="580">
        <v>1</v>
      </c>
      <c r="C50" s="581" t="s">
        <v>317</v>
      </c>
      <c r="D50" s="581"/>
      <c r="E50" s="581"/>
      <c r="F50" s="581"/>
      <c r="G50" s="581"/>
      <c r="H50" s="62"/>
      <c r="I50" s="62"/>
      <c r="J50" s="62"/>
      <c r="K50" s="62"/>
    </row>
    <row r="51" spans="2:14" ht="17.25" customHeight="1" x14ac:dyDescent="0.2">
      <c r="B51" s="582"/>
      <c r="C51" s="581"/>
      <c r="D51" s="581"/>
      <c r="E51" s="581"/>
      <c r="F51" s="581"/>
      <c r="G51" s="581"/>
      <c r="H51" s="62"/>
      <c r="I51" s="62"/>
      <c r="J51" s="62"/>
      <c r="K51" s="62"/>
    </row>
    <row r="52" spans="2:14" ht="16.5" x14ac:dyDescent="0.2">
      <c r="B52" s="580">
        <v>2</v>
      </c>
      <c r="C52" s="541" t="s">
        <v>135</v>
      </c>
      <c r="D52" s="92"/>
      <c r="E52" s="92"/>
      <c r="F52" s="341"/>
      <c r="G52" s="341"/>
      <c r="H52" s="62"/>
      <c r="I52" s="62"/>
      <c r="J52" s="62"/>
      <c r="K52" s="62"/>
    </row>
    <row r="53" spans="2:14" ht="16.5" x14ac:dyDescent="0.2">
      <c r="B53" s="580">
        <v>3</v>
      </c>
      <c r="C53" s="280" t="s">
        <v>146</v>
      </c>
      <c r="D53" s="92"/>
      <c r="E53" s="92"/>
      <c r="F53" s="341"/>
      <c r="G53" s="341"/>
      <c r="H53" s="62"/>
      <c r="I53" s="62"/>
      <c r="J53" s="62"/>
      <c r="K53" s="62"/>
      <c r="N53" s="468"/>
    </row>
    <row r="54" spans="2:14" ht="41.25" customHeight="1" x14ac:dyDescent="0.2">
      <c r="B54" s="583">
        <v>4</v>
      </c>
      <c r="C54" s="584" t="s">
        <v>170</v>
      </c>
      <c r="D54" s="584"/>
      <c r="E54" s="584"/>
      <c r="F54" s="341"/>
      <c r="G54" s="341"/>
      <c r="H54" s="62"/>
      <c r="I54" s="62"/>
      <c r="J54" s="62"/>
      <c r="K54" s="62"/>
      <c r="N54" s="468"/>
    </row>
    <row r="55" spans="2:14" ht="16.5" x14ac:dyDescent="0.2">
      <c r="B55" s="580">
        <v>5</v>
      </c>
      <c r="C55" s="280" t="s">
        <v>316</v>
      </c>
      <c r="D55" s="573"/>
      <c r="E55" s="573"/>
      <c r="F55" s="341"/>
      <c r="G55" s="341"/>
      <c r="H55" s="62"/>
      <c r="I55" s="62"/>
      <c r="J55" s="62"/>
      <c r="K55" s="62"/>
    </row>
    <row r="56" spans="2:14" ht="16.5" x14ac:dyDescent="0.2">
      <c r="B56" s="580"/>
      <c r="C56" s="585"/>
      <c r="D56" s="586"/>
      <c r="E56" s="586"/>
      <c r="F56" s="62"/>
      <c r="G56" s="62"/>
      <c r="H56" s="62"/>
      <c r="I56" s="62"/>
      <c r="J56" s="62"/>
      <c r="K56" s="62"/>
    </row>
    <row r="57" spans="2:14" ht="14.25" x14ac:dyDescent="0.2">
      <c r="B57" s="585"/>
      <c r="C57" s="365" t="s">
        <v>318</v>
      </c>
      <c r="D57" s="586"/>
      <c r="E57" s="586"/>
      <c r="F57" s="62"/>
      <c r="G57" s="62"/>
      <c r="H57" s="62"/>
      <c r="I57" s="62"/>
      <c r="J57" s="62"/>
      <c r="K57" s="62"/>
    </row>
    <row r="58" spans="2:14" x14ac:dyDescent="0.2">
      <c r="C58" s="145"/>
      <c r="D58" s="350"/>
      <c r="E58" s="350"/>
      <c r="F58" s="62"/>
      <c r="G58" s="62"/>
      <c r="H58" s="62"/>
      <c r="I58" s="62"/>
      <c r="J58" s="62"/>
      <c r="K58" s="62"/>
    </row>
  </sheetData>
  <mergeCells count="3">
    <mergeCell ref="D4:E4"/>
    <mergeCell ref="C54:E54"/>
    <mergeCell ref="C50:G51"/>
  </mergeCells>
  <pageMargins left="0.7" right="0.7" top="0.75" bottom="0.75" header="0.3" footer="0.3"/>
  <pageSetup scale="5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3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352425</xdr:colOff>
                <xdr:row>3</xdr:row>
                <xdr:rowOff>57150</xdr:rowOff>
              </to>
            </anchor>
          </objectPr>
        </oleObject>
      </mc:Choice>
      <mc:Fallback>
        <oleObject progId="MSPhotoEd.3" shapeId="39937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FF00"/>
  </sheetPr>
  <dimension ref="B3:AV66"/>
  <sheetViews>
    <sheetView zoomScaleNormal="100" zoomScaleSheetLayoutView="100" workbookViewId="0">
      <selection activeCell="H3" sqref="H3"/>
    </sheetView>
  </sheetViews>
  <sheetFormatPr defaultRowHeight="12.75" x14ac:dyDescent="0.2"/>
  <cols>
    <col min="1" max="1" width="9.140625" style="29"/>
    <col min="2" max="2" width="6.140625" style="29" customWidth="1"/>
    <col min="3" max="3" width="1.42578125" style="29" customWidth="1"/>
    <col min="4" max="4" width="31.7109375" style="29" customWidth="1"/>
    <col min="5" max="7" width="9.28515625" style="29" customWidth="1"/>
    <col min="8" max="16384" width="9.140625" style="29"/>
  </cols>
  <sheetData>
    <row r="3" spans="2:12" ht="15" x14ac:dyDescent="0.25">
      <c r="H3" s="545" t="s">
        <v>340</v>
      </c>
    </row>
    <row r="5" spans="2:12" ht="9" customHeight="1" x14ac:dyDescent="0.2"/>
    <row r="6" spans="2:12" ht="12" customHeight="1" x14ac:dyDescent="0.2"/>
    <row r="8" spans="2:12" s="588" customFormat="1" ht="15.75" customHeight="1" x14ac:dyDescent="0.25">
      <c r="B8" s="334">
        <v>3.06</v>
      </c>
      <c r="C8" s="587" t="s">
        <v>336</v>
      </c>
      <c r="D8" s="587"/>
      <c r="E8" s="587"/>
      <c r="F8" s="587"/>
      <c r="G8" s="587"/>
      <c r="H8" s="587"/>
      <c r="I8" s="587"/>
      <c r="J8" s="587"/>
      <c r="K8" s="587"/>
      <c r="L8" s="587"/>
    </row>
    <row r="9" spans="2:12" ht="12.75" customHeight="1" x14ac:dyDescent="0.25">
      <c r="B9" s="280"/>
      <c r="C9" s="589"/>
      <c r="D9" s="589"/>
      <c r="E9" s="589"/>
      <c r="F9" s="589"/>
      <c r="G9" s="589"/>
      <c r="H9" s="589"/>
    </row>
    <row r="11" spans="2:12" x14ac:dyDescent="0.2">
      <c r="C11" s="435"/>
      <c r="D11" s="435"/>
      <c r="E11" s="50">
        <v>2011</v>
      </c>
      <c r="F11" s="50">
        <v>2012</v>
      </c>
      <c r="G11" s="50">
        <v>2013</v>
      </c>
      <c r="H11" s="50">
        <v>2014</v>
      </c>
      <c r="I11" s="50">
        <v>2015</v>
      </c>
      <c r="J11" s="50">
        <v>2016</v>
      </c>
      <c r="K11" s="50">
        <v>2017</v>
      </c>
    </row>
    <row r="12" spans="2:12" x14ac:dyDescent="0.2">
      <c r="C12" s="590"/>
      <c r="D12" s="590"/>
      <c r="E12" s="64"/>
      <c r="F12" s="64"/>
    </row>
    <row r="13" spans="2:12" x14ac:dyDescent="0.2">
      <c r="C13" s="591" t="s">
        <v>91</v>
      </c>
      <c r="E13" s="592">
        <v>369</v>
      </c>
      <c r="F13" s="592">
        <v>373</v>
      </c>
      <c r="G13" s="592">
        <v>427</v>
      </c>
      <c r="H13" s="592">
        <v>387</v>
      </c>
      <c r="I13" s="592">
        <v>438</v>
      </c>
      <c r="J13" s="593">
        <v>467</v>
      </c>
      <c r="K13" s="566">
        <v>572</v>
      </c>
    </row>
    <row r="14" spans="2:12" x14ac:dyDescent="0.2">
      <c r="C14" s="591"/>
      <c r="D14" s="29" t="s">
        <v>26</v>
      </c>
      <c r="E14" s="594">
        <v>220</v>
      </c>
      <c r="F14" s="594">
        <v>219</v>
      </c>
      <c r="G14" s="594">
        <v>256</v>
      </c>
      <c r="H14" s="594">
        <v>254</v>
      </c>
      <c r="I14" s="594">
        <v>287</v>
      </c>
      <c r="J14" s="595">
        <v>321</v>
      </c>
      <c r="K14" s="62">
        <v>382</v>
      </c>
    </row>
    <row r="15" spans="2:12" x14ac:dyDescent="0.2">
      <c r="D15" s="29" t="s">
        <v>25</v>
      </c>
      <c r="E15" s="594">
        <v>149</v>
      </c>
      <c r="F15" s="594">
        <v>154</v>
      </c>
      <c r="G15" s="594">
        <v>171</v>
      </c>
      <c r="H15" s="594">
        <v>133</v>
      </c>
      <c r="I15" s="594">
        <v>151</v>
      </c>
      <c r="J15" s="595">
        <v>146</v>
      </c>
      <c r="K15" s="62">
        <v>190</v>
      </c>
    </row>
    <row r="16" spans="2:12" x14ac:dyDescent="0.2">
      <c r="E16" s="594"/>
      <c r="F16" s="594"/>
      <c r="G16" s="594"/>
      <c r="H16" s="594"/>
      <c r="I16" s="594"/>
      <c r="J16" s="595"/>
      <c r="K16" s="62"/>
    </row>
    <row r="17" spans="3:11" ht="15" x14ac:dyDescent="0.25">
      <c r="C17" s="429" t="s">
        <v>85</v>
      </c>
      <c r="E17" s="592">
        <v>28</v>
      </c>
      <c r="F17" s="592">
        <v>24</v>
      </c>
      <c r="G17" s="592">
        <v>19</v>
      </c>
      <c r="H17" s="592">
        <v>18</v>
      </c>
      <c r="I17" s="592">
        <v>19</v>
      </c>
      <c r="J17" s="593">
        <v>15</v>
      </c>
      <c r="K17" s="596">
        <v>30</v>
      </c>
    </row>
    <row r="18" spans="3:11" ht="15" x14ac:dyDescent="0.25">
      <c r="D18" s="29" t="s">
        <v>26</v>
      </c>
      <c r="E18" s="594">
        <v>20</v>
      </c>
      <c r="F18" s="594">
        <v>15</v>
      </c>
      <c r="G18" s="594">
        <v>10</v>
      </c>
      <c r="H18" s="594">
        <v>11</v>
      </c>
      <c r="I18" s="594">
        <v>12</v>
      </c>
      <c r="J18" s="597">
        <v>9</v>
      </c>
      <c r="K18" s="598">
        <v>22</v>
      </c>
    </row>
    <row r="19" spans="3:11" x14ac:dyDescent="0.2">
      <c r="D19" s="29" t="s">
        <v>25</v>
      </c>
      <c r="E19" s="594">
        <v>8</v>
      </c>
      <c r="F19" s="594">
        <v>9</v>
      </c>
      <c r="G19" s="594">
        <v>9</v>
      </c>
      <c r="H19" s="594">
        <v>7</v>
      </c>
      <c r="I19" s="594">
        <v>7</v>
      </c>
      <c r="J19" s="595">
        <v>6</v>
      </c>
      <c r="K19" s="62">
        <v>8</v>
      </c>
    </row>
    <row r="20" spans="3:11" x14ac:dyDescent="0.2">
      <c r="E20" s="594"/>
      <c r="F20" s="594"/>
      <c r="G20" s="594"/>
      <c r="H20" s="594"/>
      <c r="I20" s="594"/>
      <c r="J20" s="595"/>
      <c r="K20" s="62"/>
    </row>
    <row r="21" spans="3:11" x14ac:dyDescent="0.2">
      <c r="C21" s="429" t="s">
        <v>86</v>
      </c>
      <c r="E21" s="592">
        <v>34</v>
      </c>
      <c r="F21" s="592">
        <v>48</v>
      </c>
      <c r="G21" s="592">
        <v>54</v>
      </c>
      <c r="H21" s="592">
        <v>45</v>
      </c>
      <c r="I21" s="592">
        <v>52</v>
      </c>
      <c r="J21" s="593">
        <v>66</v>
      </c>
      <c r="K21" s="566">
        <v>69</v>
      </c>
    </row>
    <row r="22" spans="3:11" x14ac:dyDescent="0.2">
      <c r="D22" s="29" t="s">
        <v>26</v>
      </c>
      <c r="E22" s="599">
        <v>28</v>
      </c>
      <c r="F22" s="594">
        <v>38</v>
      </c>
      <c r="G22" s="594">
        <v>42</v>
      </c>
      <c r="H22" s="594">
        <v>43</v>
      </c>
      <c r="I22" s="594">
        <v>49</v>
      </c>
      <c r="J22" s="595">
        <v>64</v>
      </c>
      <c r="K22" s="62">
        <v>66</v>
      </c>
    </row>
    <row r="23" spans="3:11" x14ac:dyDescent="0.2">
      <c r="D23" s="29" t="s">
        <v>25</v>
      </c>
      <c r="E23" s="594">
        <v>6</v>
      </c>
      <c r="F23" s="594">
        <v>9</v>
      </c>
      <c r="G23" s="594">
        <v>12</v>
      </c>
      <c r="H23" s="594">
        <v>2</v>
      </c>
      <c r="I23" s="594">
        <v>3</v>
      </c>
      <c r="J23" s="595">
        <v>2</v>
      </c>
      <c r="K23" s="62">
        <v>3</v>
      </c>
    </row>
    <row r="24" spans="3:11" x14ac:dyDescent="0.2">
      <c r="E24" s="594"/>
      <c r="F24" s="594"/>
      <c r="G24" s="594"/>
    </row>
    <row r="25" spans="3:11" x14ac:dyDescent="0.2">
      <c r="C25" s="429" t="s">
        <v>87</v>
      </c>
      <c r="E25" s="592">
        <v>158</v>
      </c>
      <c r="F25" s="592">
        <v>141</v>
      </c>
      <c r="G25" s="592">
        <v>177</v>
      </c>
      <c r="H25" s="593">
        <v>161</v>
      </c>
      <c r="I25" s="593">
        <v>180</v>
      </c>
      <c r="J25" s="600">
        <v>191</v>
      </c>
      <c r="K25" s="566">
        <v>215</v>
      </c>
    </row>
    <row r="26" spans="3:11" x14ac:dyDescent="0.2">
      <c r="D26" s="29" t="s">
        <v>26</v>
      </c>
      <c r="E26" s="594">
        <v>93</v>
      </c>
      <c r="F26" s="594">
        <v>77</v>
      </c>
      <c r="G26" s="594">
        <v>105</v>
      </c>
      <c r="H26" s="595">
        <v>110</v>
      </c>
      <c r="I26" s="595">
        <v>118</v>
      </c>
      <c r="J26" s="62">
        <v>126</v>
      </c>
      <c r="K26" s="62">
        <v>140</v>
      </c>
    </row>
    <row r="27" spans="3:11" x14ac:dyDescent="0.2">
      <c r="D27" s="29" t="s">
        <v>25</v>
      </c>
      <c r="E27" s="594">
        <v>65</v>
      </c>
      <c r="F27" s="594">
        <v>64</v>
      </c>
      <c r="G27" s="594">
        <v>72</v>
      </c>
      <c r="H27" s="595">
        <v>51</v>
      </c>
      <c r="I27" s="595">
        <v>62</v>
      </c>
      <c r="J27" s="62">
        <v>65</v>
      </c>
      <c r="K27" s="62">
        <v>75</v>
      </c>
    </row>
    <row r="28" spans="3:11" x14ac:dyDescent="0.2">
      <c r="E28" s="594"/>
      <c r="F28" s="594"/>
      <c r="G28" s="594"/>
      <c r="H28" s="595"/>
      <c r="I28" s="595"/>
      <c r="J28" s="62"/>
      <c r="K28" s="62"/>
    </row>
    <row r="29" spans="3:11" x14ac:dyDescent="0.2">
      <c r="C29" s="429" t="s">
        <v>88</v>
      </c>
      <c r="E29" s="592">
        <v>14</v>
      </c>
      <c r="F29" s="592">
        <v>18</v>
      </c>
      <c r="G29" s="592">
        <v>23</v>
      </c>
      <c r="H29" s="593">
        <v>15</v>
      </c>
      <c r="I29" s="593">
        <v>15</v>
      </c>
      <c r="J29" s="98">
        <v>28</v>
      </c>
      <c r="K29" s="566">
        <v>38</v>
      </c>
    </row>
    <row r="30" spans="3:11" x14ac:dyDescent="0.2">
      <c r="D30" s="29" t="s">
        <v>26</v>
      </c>
      <c r="E30" s="594">
        <v>5</v>
      </c>
      <c r="F30" s="594">
        <v>9</v>
      </c>
      <c r="G30" s="594">
        <v>13</v>
      </c>
      <c r="H30" s="595">
        <v>9</v>
      </c>
      <c r="I30" s="595">
        <v>9</v>
      </c>
      <c r="J30" s="62">
        <v>21</v>
      </c>
      <c r="K30" s="62">
        <v>30</v>
      </c>
    </row>
    <row r="31" spans="3:11" ht="15" x14ac:dyDescent="0.25">
      <c r="D31" s="29" t="s">
        <v>25</v>
      </c>
      <c r="E31" s="594">
        <v>9</v>
      </c>
      <c r="F31" s="594">
        <v>9</v>
      </c>
      <c r="G31" s="594">
        <v>10</v>
      </c>
      <c r="H31" s="597">
        <v>6</v>
      </c>
      <c r="I31" s="597">
        <v>6</v>
      </c>
      <c r="J31" s="568">
        <v>7</v>
      </c>
      <c r="K31" s="568">
        <v>8</v>
      </c>
    </row>
    <row r="32" spans="3:11" x14ac:dyDescent="0.2">
      <c r="E32" s="594"/>
      <c r="F32" s="594"/>
      <c r="G32" s="594"/>
      <c r="H32" s="594"/>
      <c r="I32" s="594"/>
      <c r="J32" s="594"/>
      <c r="K32" s="594"/>
    </row>
    <row r="33" spans="2:11" x14ac:dyDescent="0.2">
      <c r="C33" s="429" t="s">
        <v>89</v>
      </c>
      <c r="E33" s="592">
        <v>105</v>
      </c>
      <c r="F33" s="592">
        <v>113</v>
      </c>
      <c r="G33" s="592">
        <v>120</v>
      </c>
      <c r="H33" s="592">
        <v>115</v>
      </c>
      <c r="I33" s="592">
        <v>137</v>
      </c>
      <c r="J33" s="592">
        <v>132</v>
      </c>
      <c r="K33" s="601">
        <v>145</v>
      </c>
    </row>
    <row r="34" spans="2:11" x14ac:dyDescent="0.2">
      <c r="D34" s="29" t="s">
        <v>26</v>
      </c>
      <c r="E34" s="594">
        <v>51</v>
      </c>
      <c r="F34" s="594">
        <v>53</v>
      </c>
      <c r="G34" s="594">
        <v>55</v>
      </c>
      <c r="H34" s="594">
        <v>53</v>
      </c>
      <c r="I34" s="594">
        <v>70</v>
      </c>
      <c r="J34" s="594">
        <v>70</v>
      </c>
      <c r="K34" s="594">
        <v>63</v>
      </c>
    </row>
    <row r="35" spans="2:11" x14ac:dyDescent="0.2">
      <c r="D35" s="29" t="s">
        <v>25</v>
      </c>
      <c r="E35" s="594">
        <v>54</v>
      </c>
      <c r="F35" s="594">
        <v>60</v>
      </c>
      <c r="G35" s="594">
        <v>65</v>
      </c>
      <c r="H35" s="594">
        <v>62</v>
      </c>
      <c r="I35" s="594">
        <v>67</v>
      </c>
      <c r="J35" s="594">
        <v>62</v>
      </c>
      <c r="K35" s="594">
        <v>82</v>
      </c>
    </row>
    <row r="36" spans="2:11" x14ac:dyDescent="0.2">
      <c r="E36" s="594"/>
      <c r="F36" s="594"/>
      <c r="G36" s="594"/>
      <c r="H36" s="594"/>
      <c r="I36" s="594"/>
      <c r="J36" s="594"/>
      <c r="K36" s="594"/>
    </row>
    <row r="37" spans="2:11" x14ac:dyDescent="0.2">
      <c r="C37" s="429" t="s">
        <v>90</v>
      </c>
      <c r="E37" s="592">
        <v>30</v>
      </c>
      <c r="F37" s="592">
        <v>30</v>
      </c>
      <c r="G37" s="592">
        <v>34</v>
      </c>
      <c r="H37" s="592">
        <v>33</v>
      </c>
      <c r="I37" s="592">
        <v>35</v>
      </c>
      <c r="J37" s="592">
        <v>35</v>
      </c>
      <c r="K37" s="601">
        <v>75</v>
      </c>
    </row>
    <row r="38" spans="2:11" x14ac:dyDescent="0.2">
      <c r="D38" s="29" t="s">
        <v>26</v>
      </c>
      <c r="E38" s="594">
        <v>23</v>
      </c>
      <c r="F38" s="594">
        <v>27</v>
      </c>
      <c r="G38" s="594">
        <v>31</v>
      </c>
      <c r="H38" s="594">
        <v>28</v>
      </c>
      <c r="I38" s="594">
        <v>29</v>
      </c>
      <c r="J38" s="594">
        <v>31</v>
      </c>
      <c r="K38" s="594">
        <v>61</v>
      </c>
    </row>
    <row r="39" spans="2:11" x14ac:dyDescent="0.2">
      <c r="D39" s="29" t="s">
        <v>25</v>
      </c>
      <c r="E39" s="594">
        <v>7</v>
      </c>
      <c r="F39" s="594">
        <v>3</v>
      </c>
      <c r="G39" s="594">
        <v>3</v>
      </c>
      <c r="H39" s="594">
        <v>5</v>
      </c>
      <c r="I39" s="594">
        <v>6</v>
      </c>
      <c r="J39" s="594">
        <v>4</v>
      </c>
      <c r="K39" s="594">
        <v>14</v>
      </c>
    </row>
    <row r="40" spans="2:11" x14ac:dyDescent="0.2">
      <c r="E40" s="594"/>
      <c r="F40" s="594"/>
      <c r="G40" s="594"/>
      <c r="H40" s="594"/>
      <c r="I40" s="594"/>
      <c r="J40" s="594"/>
      <c r="K40" s="594"/>
    </row>
    <row r="41" spans="2:11" x14ac:dyDescent="0.2">
      <c r="C41" s="429" t="s">
        <v>92</v>
      </c>
      <c r="E41" s="592">
        <v>138</v>
      </c>
      <c r="F41" s="592">
        <v>141</v>
      </c>
      <c r="G41" s="592">
        <v>149</v>
      </c>
      <c r="H41" s="592">
        <v>119</v>
      </c>
      <c r="I41" s="592">
        <v>208</v>
      </c>
      <c r="J41" s="592">
        <v>180</v>
      </c>
      <c r="K41" s="601">
        <v>194</v>
      </c>
    </row>
    <row r="42" spans="2:11" x14ac:dyDescent="0.2">
      <c r="D42" s="29" t="s">
        <v>26</v>
      </c>
      <c r="E42" s="594">
        <v>81</v>
      </c>
      <c r="F42" s="594">
        <v>82</v>
      </c>
      <c r="G42" s="594">
        <v>100</v>
      </c>
      <c r="H42" s="594">
        <v>111</v>
      </c>
      <c r="I42" s="594">
        <v>139</v>
      </c>
      <c r="J42" s="594">
        <v>132</v>
      </c>
      <c r="K42" s="594">
        <v>121</v>
      </c>
    </row>
    <row r="43" spans="2:11" x14ac:dyDescent="0.2">
      <c r="D43" s="29" t="s">
        <v>25</v>
      </c>
      <c r="E43" s="594">
        <v>57</v>
      </c>
      <c r="F43" s="594">
        <v>59</v>
      </c>
      <c r="G43" s="594">
        <v>49</v>
      </c>
      <c r="H43" s="594">
        <v>8</v>
      </c>
      <c r="I43" s="594">
        <v>69</v>
      </c>
      <c r="J43" s="594">
        <v>48</v>
      </c>
      <c r="K43" s="594">
        <v>73</v>
      </c>
    </row>
    <row r="44" spans="2:11" x14ac:dyDescent="0.2">
      <c r="B44" s="49"/>
      <c r="C44" s="63"/>
      <c r="D44" s="63"/>
      <c r="E44" s="63"/>
      <c r="F44" s="63"/>
      <c r="G44" s="63"/>
      <c r="H44" s="63"/>
      <c r="I44" s="63"/>
      <c r="J44" s="63"/>
      <c r="K44" s="63"/>
    </row>
    <row r="45" spans="2:11" x14ac:dyDescent="0.2">
      <c r="B45" s="49"/>
      <c r="C45" s="49"/>
      <c r="D45" s="49"/>
      <c r="E45" s="49"/>
      <c r="F45" s="49"/>
    </row>
    <row r="46" spans="2:11" x14ac:dyDescent="0.2">
      <c r="B46" s="49"/>
      <c r="C46" s="572" t="s">
        <v>288</v>
      </c>
    </row>
    <row r="48" spans="2:11" x14ac:dyDescent="0.2">
      <c r="C48" s="145"/>
    </row>
    <row r="49" spans="2:19" x14ac:dyDescent="0.2">
      <c r="C49" s="145"/>
    </row>
    <row r="50" spans="2:19" x14ac:dyDescent="0.2">
      <c r="C50" s="145"/>
    </row>
    <row r="51" spans="2:19" x14ac:dyDescent="0.2">
      <c r="C51" s="145"/>
    </row>
    <row r="52" spans="2:19" x14ac:dyDescent="0.2">
      <c r="C52" s="145"/>
    </row>
    <row r="53" spans="2:19" x14ac:dyDescent="0.2">
      <c r="C53" s="145"/>
    </row>
    <row r="54" spans="2:19" x14ac:dyDescent="0.2">
      <c r="C54" s="145"/>
    </row>
    <row r="55" spans="2:19" x14ac:dyDescent="0.2">
      <c r="C55" s="145"/>
    </row>
    <row r="56" spans="2:19" x14ac:dyDescent="0.2">
      <c r="B56" s="49"/>
    </row>
    <row r="57" spans="2:19" x14ac:dyDescent="0.2">
      <c r="C57" s="444"/>
      <c r="D57" s="444"/>
    </row>
    <row r="62" spans="2:19" x14ac:dyDescent="0.2"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</row>
    <row r="64" spans="2:19" x14ac:dyDescent="0.2">
      <c r="B64" s="468"/>
      <c r="C64" s="468"/>
      <c r="D64" s="468"/>
    </row>
    <row r="65" spans="2:4" ht="9" customHeight="1" x14ac:dyDescent="0.2"/>
    <row r="66" spans="2:4" x14ac:dyDescent="0.2">
      <c r="B66" s="468"/>
      <c r="C66" s="468"/>
      <c r="D66" s="468"/>
    </row>
  </sheetData>
  <mergeCells count="1">
    <mergeCell ref="C8:L8"/>
  </mergeCells>
  <phoneticPr fontId="0" type="noConversion"/>
  <printOptions horizontalCentered="1"/>
  <pageMargins left="1" right="1" top="1" bottom="0.99" header="0.5" footer="0.5"/>
  <pageSetup scale="5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76200</xdr:colOff>
                <xdr:row>3</xdr:row>
                <xdr:rowOff>47625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C4:V68"/>
  <sheetViews>
    <sheetView view="pageBreakPreview" zoomScaleNormal="100" zoomScaleSheetLayoutView="100" workbookViewId="0">
      <selection activeCell="K36" sqref="K36"/>
    </sheetView>
  </sheetViews>
  <sheetFormatPr defaultColWidth="9.140625" defaultRowHeight="12.75" x14ac:dyDescent="0.2"/>
  <cols>
    <col min="1" max="2" width="9.140625" style="101"/>
    <col min="3" max="3" width="7.42578125" style="101" customWidth="1"/>
    <col min="4" max="4" width="19.42578125" style="101" customWidth="1"/>
    <col min="5" max="5" width="9.140625" style="101"/>
    <col min="6" max="6" width="0" style="101" hidden="1" customWidth="1"/>
    <col min="7" max="7" width="11" style="101" hidden="1" customWidth="1"/>
    <col min="8" max="8" width="7.85546875" style="101" customWidth="1"/>
    <col min="9" max="9" width="8.85546875" style="101" customWidth="1"/>
    <col min="10" max="10" width="11.140625" style="101" customWidth="1"/>
    <col min="11" max="11" width="7.42578125" style="101" customWidth="1"/>
    <col min="12" max="12" width="9.42578125" style="101" customWidth="1"/>
    <col min="13" max="13" width="11.28515625" style="101" customWidth="1"/>
    <col min="14" max="14" width="6.42578125" style="101" customWidth="1"/>
    <col min="15" max="15" width="11.42578125" style="101" customWidth="1"/>
    <col min="16" max="16" width="12.140625" style="101" customWidth="1"/>
    <col min="17" max="17" width="9.140625" style="101"/>
    <col min="18" max="18" width="4.85546875" style="101" customWidth="1"/>
    <col min="19" max="19" width="10.85546875" style="101" customWidth="1"/>
    <col min="20" max="20" width="13.5703125" style="101" customWidth="1"/>
    <col min="21" max="21" width="9.140625" style="101"/>
    <col min="22" max="22" width="4.140625" style="101" customWidth="1"/>
    <col min="23" max="16384" width="9.140625" style="101"/>
  </cols>
  <sheetData>
    <row r="4" spans="3:22" ht="15" x14ac:dyDescent="0.25">
      <c r="E4" s="102"/>
      <c r="F4" s="102"/>
      <c r="G4" s="102"/>
      <c r="H4" s="102"/>
      <c r="I4" s="102"/>
      <c r="J4" s="102"/>
      <c r="K4" s="102"/>
      <c r="L4" s="102"/>
      <c r="M4" s="103" t="s">
        <v>296</v>
      </c>
      <c r="N4" s="103"/>
    </row>
    <row r="5" spans="3:22" ht="9" customHeight="1" x14ac:dyDescent="0.2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7" spans="3:22" x14ac:dyDescent="0.2">
      <c r="D7" s="116"/>
      <c r="E7" s="115"/>
      <c r="F7" s="115"/>
      <c r="G7" s="115"/>
      <c r="H7" s="115"/>
      <c r="I7" s="115"/>
      <c r="J7" s="115"/>
      <c r="K7" s="115"/>
      <c r="L7" s="115"/>
      <c r="M7" s="150"/>
      <c r="N7" s="150"/>
    </row>
    <row r="8" spans="3:22" x14ac:dyDescent="0.2">
      <c r="D8" s="116"/>
      <c r="E8" s="115"/>
      <c r="F8" s="115"/>
      <c r="G8" s="115"/>
      <c r="H8" s="115"/>
      <c r="I8" s="115"/>
      <c r="J8" s="115"/>
      <c r="K8" s="115"/>
      <c r="L8" s="115"/>
      <c r="M8" s="150"/>
      <c r="N8" s="150"/>
    </row>
    <row r="9" spans="3:22" ht="15.75" x14ac:dyDescent="0.25">
      <c r="C9" s="289" t="s">
        <v>292</v>
      </c>
      <c r="D9" s="402" t="s">
        <v>297</v>
      </c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</row>
    <row r="10" spans="3:22" x14ac:dyDescent="0.2">
      <c r="C10" s="290"/>
      <c r="D10" s="291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0"/>
      <c r="P10" s="290"/>
      <c r="Q10" s="290"/>
      <c r="R10" s="290"/>
    </row>
    <row r="11" spans="3:22" ht="17.25" customHeight="1" x14ac:dyDescent="0.2">
      <c r="C11" s="290"/>
      <c r="D11" s="292"/>
      <c r="E11" s="293"/>
      <c r="F11" s="294">
        <v>2009</v>
      </c>
      <c r="G11" s="295"/>
      <c r="H11" s="296"/>
      <c r="I11" s="399">
        <v>2010</v>
      </c>
      <c r="J11" s="399"/>
      <c r="K11" s="296"/>
      <c r="L11" s="294" t="s">
        <v>179</v>
      </c>
      <c r="M11" s="295"/>
      <c r="N11" s="295"/>
      <c r="O11" s="399">
        <v>2012</v>
      </c>
      <c r="P11" s="399"/>
      <c r="Q11" s="399"/>
      <c r="R11" s="399"/>
      <c r="S11" s="399">
        <v>2013</v>
      </c>
      <c r="T11" s="399"/>
      <c r="U11" s="399"/>
      <c r="V11" s="399"/>
    </row>
    <row r="12" spans="3:22" ht="18" customHeight="1" x14ac:dyDescent="0.2">
      <c r="C12" s="290"/>
      <c r="D12" s="297" t="s">
        <v>159</v>
      </c>
      <c r="E12" s="298"/>
      <c r="F12" s="299" t="s">
        <v>160</v>
      </c>
      <c r="G12" s="299" t="s">
        <v>161</v>
      </c>
      <c r="H12" s="287"/>
      <c r="I12" s="299" t="s">
        <v>160</v>
      </c>
      <c r="J12" s="299" t="s">
        <v>161</v>
      </c>
      <c r="K12" s="299"/>
      <c r="L12" s="299" t="s">
        <v>160</v>
      </c>
      <c r="M12" s="299" t="s">
        <v>161</v>
      </c>
      <c r="N12" s="299"/>
      <c r="O12" s="299" t="s">
        <v>160</v>
      </c>
      <c r="P12" s="299" t="s">
        <v>161</v>
      </c>
      <c r="Q12" s="403" t="s">
        <v>252</v>
      </c>
      <c r="R12" s="403"/>
      <c r="S12" s="299" t="s">
        <v>160</v>
      </c>
      <c r="T12" s="299" t="s">
        <v>161</v>
      </c>
      <c r="U12" s="403" t="s">
        <v>252</v>
      </c>
      <c r="V12" s="403"/>
    </row>
    <row r="13" spans="3:22" ht="12" customHeight="1" x14ac:dyDescent="0.2">
      <c r="C13" s="290"/>
      <c r="D13" s="300"/>
      <c r="E13" s="290"/>
      <c r="F13" s="301"/>
      <c r="G13" s="301"/>
      <c r="H13" s="162"/>
      <c r="I13" s="301"/>
      <c r="J13" s="301"/>
      <c r="K13" s="301"/>
      <c r="L13" s="301"/>
      <c r="M13" s="301"/>
      <c r="N13" s="301"/>
      <c r="O13" s="301"/>
      <c r="P13" s="301"/>
      <c r="Q13" s="400"/>
      <c r="R13" s="400"/>
      <c r="S13" s="301"/>
      <c r="T13" s="301"/>
      <c r="U13" s="400"/>
      <c r="V13" s="400"/>
    </row>
    <row r="14" spans="3:22" ht="13.5" customHeight="1" x14ac:dyDescent="0.2">
      <c r="C14" s="290"/>
      <c r="D14" s="302" t="s">
        <v>24</v>
      </c>
      <c r="E14" s="303"/>
      <c r="F14" s="285">
        <f>SUM(F16+F18+F20+F22+F24+F26)</f>
        <v>35549</v>
      </c>
      <c r="G14" s="285">
        <f>SUM(G16+G18+G20+G22+G24+G26)</f>
        <v>36108</v>
      </c>
      <c r="H14" s="288"/>
      <c r="I14" s="285">
        <f>SUM(I16+I18+I20+I22+I24+I26)</f>
        <v>41080</v>
      </c>
      <c r="J14" s="285">
        <f>SUM(J16+J18+J20+J22+J24+J26)</f>
        <v>39671</v>
      </c>
      <c r="K14" s="285"/>
      <c r="L14" s="285">
        <f>SUM(L16+L18+L20+L22+L24+L26)</f>
        <v>8161</v>
      </c>
      <c r="M14" s="285">
        <f>SUM(M16+M18+M20+M22+M24+M26)</f>
        <v>7269</v>
      </c>
      <c r="N14" s="285"/>
      <c r="O14" s="285">
        <v>27259</v>
      </c>
      <c r="P14" s="285">
        <v>34378</v>
      </c>
      <c r="Q14" s="404">
        <v>26583</v>
      </c>
      <c r="R14" s="404"/>
      <c r="S14" s="285"/>
      <c r="T14" s="285"/>
      <c r="U14" s="404"/>
      <c r="V14" s="404"/>
    </row>
    <row r="15" spans="3:22" ht="12" customHeight="1" x14ac:dyDescent="0.2">
      <c r="C15" s="290"/>
      <c r="D15" s="300"/>
      <c r="E15" s="303"/>
      <c r="F15" s="301"/>
      <c r="G15" s="301"/>
      <c r="H15" s="288"/>
      <c r="I15" s="301"/>
      <c r="J15" s="301"/>
      <c r="K15" s="301"/>
      <c r="L15" s="301"/>
      <c r="M15" s="301"/>
      <c r="N15" s="301"/>
      <c r="O15" s="301"/>
      <c r="P15" s="301"/>
      <c r="Q15" s="405"/>
      <c r="R15" s="405"/>
      <c r="S15" s="301"/>
      <c r="T15" s="301"/>
      <c r="U15" s="405"/>
      <c r="V15" s="405"/>
    </row>
    <row r="16" spans="3:22" ht="12" customHeight="1" x14ac:dyDescent="0.2">
      <c r="C16" s="290"/>
      <c r="D16" s="292" t="s">
        <v>154</v>
      </c>
      <c r="E16" s="290"/>
      <c r="F16" s="288">
        <v>14480</v>
      </c>
      <c r="G16" s="288">
        <v>14709</v>
      </c>
      <c r="H16" s="162"/>
      <c r="I16" s="288">
        <v>23852</v>
      </c>
      <c r="J16" s="288">
        <v>22277</v>
      </c>
      <c r="K16" s="288"/>
      <c r="L16" s="288">
        <v>7465</v>
      </c>
      <c r="M16" s="288">
        <v>5907</v>
      </c>
      <c r="N16" s="288"/>
      <c r="O16" s="288">
        <v>14614</v>
      </c>
      <c r="P16" s="288">
        <v>19168</v>
      </c>
      <c r="Q16" s="401">
        <v>8184</v>
      </c>
      <c r="R16" s="401"/>
      <c r="S16" s="288"/>
      <c r="T16" s="288"/>
      <c r="U16" s="401"/>
      <c r="V16" s="401"/>
    </row>
    <row r="17" spans="3:22" ht="13.5" customHeight="1" x14ac:dyDescent="0.2">
      <c r="C17" s="290"/>
      <c r="D17" s="292"/>
      <c r="E17" s="290"/>
      <c r="F17" s="288"/>
      <c r="G17" s="288"/>
      <c r="H17" s="162"/>
      <c r="I17" s="288"/>
      <c r="J17" s="288"/>
      <c r="K17" s="288"/>
      <c r="L17" s="288"/>
      <c r="M17" s="288"/>
      <c r="N17" s="288"/>
      <c r="O17" s="288"/>
      <c r="P17" s="288"/>
      <c r="Q17" s="401"/>
      <c r="R17" s="401"/>
      <c r="S17" s="288"/>
      <c r="T17" s="288"/>
      <c r="U17" s="401"/>
      <c r="V17" s="401"/>
    </row>
    <row r="18" spans="3:22" ht="13.5" customHeight="1" x14ac:dyDescent="0.2">
      <c r="C18" s="290"/>
      <c r="D18" s="292" t="s">
        <v>155</v>
      </c>
      <c r="E18" s="290"/>
      <c r="F18" s="288">
        <v>10046</v>
      </c>
      <c r="G18" s="288">
        <v>9665</v>
      </c>
      <c r="H18" s="162"/>
      <c r="I18" s="288">
        <v>7425</v>
      </c>
      <c r="J18" s="288">
        <v>7413</v>
      </c>
      <c r="K18" s="288"/>
      <c r="L18" s="288">
        <v>281</v>
      </c>
      <c r="M18" s="288">
        <v>830</v>
      </c>
      <c r="N18" s="288"/>
      <c r="O18" s="288">
        <v>5805</v>
      </c>
      <c r="P18" s="288">
        <v>6958</v>
      </c>
      <c r="Q18" s="401">
        <v>13499</v>
      </c>
      <c r="R18" s="401"/>
      <c r="S18" s="288"/>
      <c r="T18" s="288"/>
      <c r="U18" s="401"/>
      <c r="V18" s="401"/>
    </row>
    <row r="19" spans="3:22" ht="13.5" customHeight="1" x14ac:dyDescent="0.2">
      <c r="C19" s="290"/>
      <c r="D19" s="292"/>
      <c r="E19" s="290"/>
      <c r="F19" s="288"/>
      <c r="G19" s="288"/>
      <c r="H19" s="162"/>
      <c r="I19" s="288"/>
      <c r="J19" s="288"/>
      <c r="K19" s="288"/>
      <c r="L19" s="288"/>
      <c r="M19" s="288"/>
      <c r="N19" s="288"/>
      <c r="O19" s="288"/>
      <c r="P19" s="288"/>
      <c r="Q19" s="401"/>
      <c r="R19" s="401"/>
      <c r="S19" s="288"/>
      <c r="T19" s="288"/>
      <c r="U19" s="401"/>
      <c r="V19" s="401"/>
    </row>
    <row r="20" spans="3:22" ht="13.5" customHeight="1" x14ac:dyDescent="0.2">
      <c r="C20" s="290"/>
      <c r="D20" s="292" t="s">
        <v>156</v>
      </c>
      <c r="E20" s="290"/>
      <c r="F20" s="288">
        <v>3805</v>
      </c>
      <c r="G20" s="288">
        <v>3757</v>
      </c>
      <c r="H20" s="162"/>
      <c r="I20" s="288">
        <v>947</v>
      </c>
      <c r="J20" s="288">
        <v>959</v>
      </c>
      <c r="K20" s="288"/>
      <c r="L20" s="288">
        <v>110</v>
      </c>
      <c r="M20" s="288">
        <v>210</v>
      </c>
      <c r="N20" s="288"/>
      <c r="O20" s="288">
        <v>2039</v>
      </c>
      <c r="P20" s="288">
        <v>2577</v>
      </c>
      <c r="Q20" s="401">
        <v>1910</v>
      </c>
      <c r="R20" s="401"/>
      <c r="S20" s="288"/>
      <c r="T20" s="288"/>
      <c r="U20" s="401"/>
      <c r="V20" s="401"/>
    </row>
    <row r="21" spans="3:22" ht="13.5" customHeight="1" x14ac:dyDescent="0.2">
      <c r="C21" s="290"/>
      <c r="D21" s="292"/>
      <c r="E21" s="290"/>
      <c r="F21" s="285"/>
      <c r="G21" s="285"/>
      <c r="H21" s="162"/>
      <c r="I21" s="285"/>
      <c r="J21" s="285"/>
      <c r="K21" s="285"/>
      <c r="L21" s="285"/>
      <c r="M21" s="285"/>
      <c r="N21" s="285"/>
      <c r="O21" s="285"/>
      <c r="P21" s="285"/>
      <c r="Q21" s="401"/>
      <c r="R21" s="401"/>
      <c r="S21" s="285"/>
      <c r="T21" s="285"/>
      <c r="U21" s="401"/>
      <c r="V21" s="401"/>
    </row>
    <row r="22" spans="3:22" ht="13.5" customHeight="1" x14ac:dyDescent="0.2">
      <c r="C22" s="290"/>
      <c r="D22" s="292" t="s">
        <v>157</v>
      </c>
      <c r="E22" s="290"/>
      <c r="F22" s="288">
        <v>1682</v>
      </c>
      <c r="G22" s="288">
        <v>2149</v>
      </c>
      <c r="H22" s="162"/>
      <c r="I22" s="288">
        <v>2088</v>
      </c>
      <c r="J22" s="288">
        <v>2126</v>
      </c>
      <c r="K22" s="288"/>
      <c r="L22" s="288">
        <v>18</v>
      </c>
      <c r="M22" s="288">
        <v>75</v>
      </c>
      <c r="N22" s="288"/>
      <c r="O22" s="288">
        <v>1062</v>
      </c>
      <c r="P22" s="288">
        <v>1225</v>
      </c>
      <c r="Q22" s="401">
        <v>188</v>
      </c>
      <c r="R22" s="401"/>
      <c r="S22" s="288"/>
      <c r="T22" s="288"/>
      <c r="U22" s="401"/>
      <c r="V22" s="401"/>
    </row>
    <row r="23" spans="3:22" ht="13.5" customHeight="1" x14ac:dyDescent="0.2">
      <c r="C23" s="290"/>
      <c r="D23" s="292"/>
      <c r="E23" s="290"/>
      <c r="F23" s="288"/>
      <c r="G23" s="288"/>
      <c r="H23" s="162"/>
      <c r="I23" s="288"/>
      <c r="J23" s="288"/>
      <c r="K23" s="288"/>
      <c r="L23" s="288"/>
      <c r="M23" s="288"/>
      <c r="N23" s="288"/>
      <c r="O23" s="288"/>
      <c r="P23" s="288"/>
      <c r="Q23" s="401"/>
      <c r="R23" s="401"/>
      <c r="S23" s="288"/>
      <c r="T23" s="288"/>
      <c r="U23" s="401"/>
      <c r="V23" s="401"/>
    </row>
    <row r="24" spans="3:22" ht="13.5" customHeight="1" x14ac:dyDescent="0.2">
      <c r="C24" s="290"/>
      <c r="D24" s="292" t="s">
        <v>158</v>
      </c>
      <c r="E24" s="290"/>
      <c r="F24" s="288">
        <v>604</v>
      </c>
      <c r="G24" s="288">
        <v>713</v>
      </c>
      <c r="H24" s="162"/>
      <c r="I24" s="288">
        <v>1890</v>
      </c>
      <c r="J24" s="288">
        <v>1899</v>
      </c>
      <c r="K24" s="288"/>
      <c r="L24" s="288">
        <v>59</v>
      </c>
      <c r="M24" s="288">
        <v>105</v>
      </c>
      <c r="N24" s="288"/>
      <c r="O24" s="288">
        <v>913</v>
      </c>
      <c r="P24" s="288">
        <v>1065</v>
      </c>
      <c r="Q24" s="401">
        <v>1201</v>
      </c>
      <c r="R24" s="401"/>
      <c r="S24" s="288"/>
      <c r="T24" s="288"/>
      <c r="U24" s="401"/>
      <c r="V24" s="401"/>
    </row>
    <row r="25" spans="3:22" ht="13.5" customHeight="1" x14ac:dyDescent="0.2">
      <c r="C25" s="290"/>
      <c r="D25" s="292"/>
      <c r="E25" s="290"/>
      <c r="F25" s="288"/>
      <c r="G25" s="288"/>
      <c r="H25" s="162"/>
      <c r="I25" s="288"/>
      <c r="J25" s="288"/>
      <c r="K25" s="288"/>
      <c r="L25" s="288"/>
      <c r="M25" s="288"/>
      <c r="N25" s="288"/>
      <c r="O25" s="288"/>
      <c r="P25" s="288"/>
      <c r="Q25" s="401"/>
      <c r="R25" s="401"/>
      <c r="S25" s="288"/>
      <c r="T25" s="288"/>
      <c r="U25" s="401"/>
      <c r="V25" s="401"/>
    </row>
    <row r="26" spans="3:22" ht="13.5" customHeight="1" x14ac:dyDescent="0.2">
      <c r="C26" s="290"/>
      <c r="D26" s="291" t="s">
        <v>18</v>
      </c>
      <c r="E26" s="298"/>
      <c r="F26" s="287">
        <v>4932</v>
      </c>
      <c r="G26" s="287">
        <v>5115</v>
      </c>
      <c r="H26" s="287"/>
      <c r="I26" s="287">
        <v>4878</v>
      </c>
      <c r="J26" s="287">
        <v>4997</v>
      </c>
      <c r="K26" s="287"/>
      <c r="L26" s="287">
        <v>228</v>
      </c>
      <c r="M26" s="287">
        <v>142</v>
      </c>
      <c r="N26" s="287"/>
      <c r="O26" s="287">
        <v>2826</v>
      </c>
      <c r="P26" s="287">
        <v>3385</v>
      </c>
      <c r="Q26" s="406">
        <v>1601</v>
      </c>
      <c r="R26" s="406"/>
      <c r="S26" s="325"/>
      <c r="T26" s="325"/>
      <c r="U26" s="406"/>
      <c r="V26" s="406"/>
    </row>
    <row r="27" spans="3:22" x14ac:dyDescent="0.2">
      <c r="C27" s="290"/>
      <c r="D27" s="304" t="s">
        <v>173</v>
      </c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</row>
    <row r="28" spans="3:22" ht="13.5" customHeight="1" x14ac:dyDescent="0.2">
      <c r="C28" s="290"/>
      <c r="D28" s="290" t="s">
        <v>178</v>
      </c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</row>
    <row r="29" spans="3:22" ht="13.5" customHeight="1" x14ac:dyDescent="0.2"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</row>
    <row r="30" spans="3:22" ht="13.5" customHeight="1" x14ac:dyDescent="0.2">
      <c r="C30" s="290"/>
      <c r="D30" s="161" t="s">
        <v>174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</row>
    <row r="31" spans="3:22" ht="13.5" customHeight="1" x14ac:dyDescent="0.2">
      <c r="C31" s="290"/>
      <c r="D31" s="30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</row>
    <row r="32" spans="3:22" ht="13.5" customHeight="1" x14ac:dyDescent="0.2">
      <c r="C32" s="290"/>
      <c r="D32" s="306" t="s">
        <v>181</v>
      </c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</row>
    <row r="33" spans="3:18" ht="13.5" customHeight="1" x14ac:dyDescent="0.2">
      <c r="D33" s="102"/>
    </row>
    <row r="34" spans="3:18" ht="13.5" customHeight="1" x14ac:dyDescent="0.2">
      <c r="D34" s="102"/>
    </row>
    <row r="35" spans="3:18" ht="13.5" customHeight="1" x14ac:dyDescent="0.2">
      <c r="D35" s="102"/>
    </row>
    <row r="36" spans="3:18" x14ac:dyDescent="0.2"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3:18" x14ac:dyDescent="0.2"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3:18" ht="9" customHeight="1" x14ac:dyDescent="0.2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3:18" x14ac:dyDescent="0.2">
      <c r="C39" s="394">
        <v>37</v>
      </c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18"/>
    </row>
    <row r="40" spans="3:18" x14ac:dyDescent="0.2"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3:18" x14ac:dyDescent="0.2">
      <c r="D41" s="108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3:18" x14ac:dyDescent="0.2"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3:18" x14ac:dyDescent="0.2"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3:18" x14ac:dyDescent="0.2"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3:18" x14ac:dyDescent="0.2"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3:18" x14ac:dyDescent="0.2">
      <c r="C46"/>
      <c r="D46"/>
      <c r="E46"/>
      <c r="F46"/>
      <c r="G46"/>
      <c r="H46"/>
      <c r="I46"/>
      <c r="J46"/>
      <c r="K46"/>
      <c r="L46"/>
      <c r="M46"/>
      <c r="N46"/>
    </row>
    <row r="47" spans="3:18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3:18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ht="12" customHeight="1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">
      <c r="C54"/>
      <c r="D54"/>
      <c r="E54"/>
      <c r="F54"/>
      <c r="G54"/>
      <c r="H54"/>
      <c r="I54"/>
      <c r="J54"/>
      <c r="K54"/>
      <c r="L54"/>
      <c r="M54"/>
      <c r="N54"/>
    </row>
    <row r="55" spans="3:14" ht="12.75" customHeight="1" x14ac:dyDescent="0.2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">
      <c r="C59"/>
      <c r="D59"/>
      <c r="E59"/>
      <c r="F59"/>
      <c r="G59"/>
      <c r="H59"/>
      <c r="I59"/>
      <c r="J59"/>
      <c r="K59"/>
      <c r="L59"/>
      <c r="M59"/>
      <c r="N59"/>
    </row>
    <row r="60" spans="3:14" ht="9.75" customHeight="1" x14ac:dyDescent="0.2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">
      <c r="C63"/>
      <c r="D63"/>
      <c r="E63"/>
      <c r="F63"/>
      <c r="G63"/>
      <c r="H63"/>
      <c r="I63"/>
      <c r="J63"/>
      <c r="K63"/>
      <c r="L63"/>
      <c r="M63"/>
      <c r="N63"/>
    </row>
    <row r="64" spans="3:14" ht="9" customHeight="1" x14ac:dyDescent="0.2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">
      <c r="C68"/>
      <c r="D68"/>
      <c r="E68"/>
      <c r="F68"/>
      <c r="G68"/>
      <c r="H68"/>
      <c r="I68"/>
      <c r="J68"/>
      <c r="K68"/>
      <c r="L68"/>
      <c r="M68"/>
      <c r="N68"/>
    </row>
  </sheetData>
  <mergeCells count="35">
    <mergeCell ref="U16:V16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22:V22"/>
    <mergeCell ref="S11:V11"/>
    <mergeCell ref="U12:V12"/>
    <mergeCell ref="U13:V13"/>
    <mergeCell ref="U14:V14"/>
    <mergeCell ref="U15:V15"/>
    <mergeCell ref="C39:M39"/>
    <mergeCell ref="Q19:R19"/>
    <mergeCell ref="Q26:R26"/>
    <mergeCell ref="Q25:R25"/>
    <mergeCell ref="Q24:R24"/>
    <mergeCell ref="Q20:R20"/>
    <mergeCell ref="Q21:R21"/>
    <mergeCell ref="Q22:R22"/>
    <mergeCell ref="Q23:R23"/>
    <mergeCell ref="O11:R11"/>
    <mergeCell ref="Q13:R13"/>
    <mergeCell ref="Q17:R17"/>
    <mergeCell ref="D9:R9"/>
    <mergeCell ref="Q18:R18"/>
    <mergeCell ref="I11:J11"/>
    <mergeCell ref="Q12:R12"/>
    <mergeCell ref="Q14:R14"/>
    <mergeCell ref="Q15:R15"/>
    <mergeCell ref="Q16:R16"/>
  </mergeCells>
  <phoneticPr fontId="28" type="noConversion"/>
  <printOptions horizontalCentered="1"/>
  <pageMargins left="0.5" right="0.5" top="0.87" bottom="0.83" header="0.5" footer="0.24"/>
  <pageSetup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9457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57150</xdr:rowOff>
              </from>
              <to>
                <xdr:col>2</xdr:col>
                <xdr:colOff>247650</xdr:colOff>
                <xdr:row>0</xdr:row>
                <xdr:rowOff>161925</xdr:rowOff>
              </to>
            </anchor>
          </objectPr>
        </oleObject>
      </mc:Choice>
      <mc:Fallback>
        <oleObject progId="MSPhotoEd.3" shapeId="194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0.39997558519241921"/>
    <pageSetUpPr fitToPage="1"/>
  </sheetPr>
  <dimension ref="A3:N71"/>
  <sheetViews>
    <sheetView zoomScaleNormal="100" zoomScaleSheetLayoutView="81" workbookViewId="0">
      <selection activeCell="H3" sqref="H3"/>
    </sheetView>
  </sheetViews>
  <sheetFormatPr defaultColWidth="9.140625" defaultRowHeight="14.25" x14ac:dyDescent="0.2"/>
  <cols>
    <col min="1" max="1" width="9.140625" style="282"/>
    <col min="2" max="2" width="6.85546875" style="282" customWidth="1"/>
    <col min="3" max="3" width="33.42578125" style="280" customWidth="1"/>
    <col min="4" max="4" width="1.85546875" style="282" customWidth="1"/>
    <col min="5" max="16384" width="9.140625" style="282"/>
  </cols>
  <sheetData>
    <row r="3" spans="1:14" ht="15" x14ac:dyDescent="0.25">
      <c r="H3" s="330" t="s">
        <v>340</v>
      </c>
    </row>
    <row r="5" spans="1:14" s="280" customFormat="1" ht="9" customHeight="1" x14ac:dyDescent="0.2">
      <c r="J5" s="154"/>
    </row>
    <row r="6" spans="1:14" s="280" customFormat="1" ht="12.75" x14ac:dyDescent="0.2">
      <c r="N6" s="154"/>
    </row>
    <row r="7" spans="1:14" s="280" customFormat="1" ht="15.75" x14ac:dyDescent="0.25">
      <c r="B7" s="389" t="s">
        <v>342</v>
      </c>
      <c r="C7" s="389"/>
      <c r="D7" s="389"/>
      <c r="E7" s="389"/>
      <c r="F7" s="389"/>
      <c r="G7" s="389"/>
      <c r="H7" s="389"/>
      <c r="I7" s="368"/>
      <c r="J7" s="368"/>
      <c r="K7" s="368"/>
      <c r="N7" s="154"/>
    </row>
    <row r="8" spans="1:14" s="280" customFormat="1" ht="15.75" customHeight="1" x14ac:dyDescent="0.25">
      <c r="B8" s="390" t="s">
        <v>343</v>
      </c>
      <c r="C8" s="390"/>
      <c r="D8" s="390"/>
      <c r="E8" s="390"/>
      <c r="F8" s="390"/>
      <c r="G8" s="390"/>
      <c r="H8" s="390"/>
      <c r="I8" s="332"/>
      <c r="J8" s="332"/>
      <c r="K8" s="332"/>
      <c r="N8" s="154"/>
    </row>
    <row r="9" spans="1:14" s="371" customFormat="1" ht="15" customHeight="1" x14ac:dyDescent="0.25">
      <c r="A9" s="369" t="s">
        <v>225</v>
      </c>
      <c r="G9" s="370"/>
    </row>
    <row r="10" spans="1:14" s="371" customFormat="1" ht="15" x14ac:dyDescent="0.25">
      <c r="C10" s="280"/>
      <c r="D10" s="370"/>
      <c r="E10" s="370"/>
      <c r="F10" s="370"/>
    </row>
    <row r="11" spans="1:14" s="371" customFormat="1" ht="15" x14ac:dyDescent="0.25">
      <c r="B11" s="280"/>
      <c r="D11" s="280"/>
    </row>
    <row r="12" spans="1:14" x14ac:dyDescent="0.2">
      <c r="C12" s="372" t="s">
        <v>198</v>
      </c>
      <c r="D12" s="373"/>
      <c r="E12" s="374">
        <v>2014</v>
      </c>
      <c r="F12" s="374">
        <v>2015</v>
      </c>
      <c r="G12" s="374">
        <v>2016</v>
      </c>
      <c r="H12" s="374">
        <v>2017</v>
      </c>
    </row>
    <row r="13" spans="1:14" ht="15" x14ac:dyDescent="0.25">
      <c r="C13" s="375" t="s">
        <v>199</v>
      </c>
      <c r="D13" s="376"/>
      <c r="E13" s="377">
        <f t="shared" ref="E13:H13" si="0">SUM(E21,E29,E37,E45,E53,E61)</f>
        <v>2018</v>
      </c>
      <c r="F13" s="377">
        <f t="shared" si="0"/>
        <v>1854</v>
      </c>
      <c r="G13" s="377">
        <f t="shared" si="0"/>
        <v>1994</v>
      </c>
      <c r="H13" s="377">
        <f t="shared" si="0"/>
        <v>2106</v>
      </c>
    </row>
    <row r="14" spans="1:14" ht="15" x14ac:dyDescent="0.25">
      <c r="C14" s="378" t="s">
        <v>183</v>
      </c>
      <c r="D14" s="376"/>
      <c r="E14" s="377">
        <f t="shared" ref="E14:F19" si="1">SUM(E22,E30,E38,E46,E54,E62)</f>
        <v>1226</v>
      </c>
      <c r="F14" s="377">
        <f t="shared" si="1"/>
        <v>1180</v>
      </c>
      <c r="G14" s="377">
        <f>SUM(G22,G30,G38,G46,G54,G62)</f>
        <v>1183</v>
      </c>
      <c r="H14" s="377">
        <f t="shared" ref="H14" si="2">SUM(H22,H30,H38,H46,H54,H62)</f>
        <v>1409</v>
      </c>
      <c r="J14" s="154"/>
      <c r="K14" s="280"/>
    </row>
    <row r="15" spans="1:14" x14ac:dyDescent="0.2">
      <c r="C15" s="378" t="s">
        <v>184</v>
      </c>
      <c r="D15" s="376"/>
      <c r="E15" s="379">
        <f t="shared" si="1"/>
        <v>480</v>
      </c>
      <c r="F15" s="379">
        <f t="shared" si="1"/>
        <v>359</v>
      </c>
      <c r="G15" s="379">
        <f>SUM(G23,G31,G39,G47,G55,G63)</f>
        <v>509</v>
      </c>
      <c r="H15" s="379">
        <f t="shared" ref="H15" si="3">SUM(H23,H31,H39,H47,H55,H63)</f>
        <v>422</v>
      </c>
      <c r="J15" s="352"/>
      <c r="K15" s="280"/>
    </row>
    <row r="16" spans="1:14" x14ac:dyDescent="0.2">
      <c r="C16" s="378" t="s">
        <v>185</v>
      </c>
      <c r="D16" s="376"/>
      <c r="E16" s="282">
        <v>312</v>
      </c>
      <c r="F16" s="379">
        <f t="shared" si="1"/>
        <v>315</v>
      </c>
      <c r="G16" s="379">
        <v>302</v>
      </c>
      <c r="H16" s="379">
        <v>275</v>
      </c>
    </row>
    <row r="17" spans="3:11" x14ac:dyDescent="0.2">
      <c r="C17" s="380" t="s">
        <v>26</v>
      </c>
      <c r="D17" s="376"/>
      <c r="E17" s="379">
        <f t="shared" si="1"/>
        <v>944</v>
      </c>
      <c r="F17" s="379">
        <f t="shared" si="1"/>
        <v>880</v>
      </c>
      <c r="G17" s="379">
        <f>SUM(G25,G33,G41,G49,G57,G65)</f>
        <v>975</v>
      </c>
      <c r="H17" s="379">
        <f t="shared" ref="H17" si="4">SUM(H25,H33,H41,H49,H57,H65)</f>
        <v>1053</v>
      </c>
      <c r="J17" s="154"/>
      <c r="K17" s="280"/>
    </row>
    <row r="18" spans="3:11" x14ac:dyDescent="0.2">
      <c r="C18" s="380" t="s">
        <v>25</v>
      </c>
      <c r="D18" s="376"/>
      <c r="E18" s="379">
        <f t="shared" si="1"/>
        <v>1074</v>
      </c>
      <c r="F18" s="379">
        <f t="shared" si="1"/>
        <v>974</v>
      </c>
      <c r="G18" s="379">
        <f>SUM(G26,G34,G42,G50,G58,G66)</f>
        <v>1019</v>
      </c>
      <c r="H18" s="379">
        <f t="shared" ref="H18" si="5">SUM(H26,H34,H42,H50,H58,H66)</f>
        <v>1053</v>
      </c>
      <c r="J18" s="352"/>
      <c r="K18" s="280"/>
    </row>
    <row r="19" spans="3:11" ht="15" x14ac:dyDescent="0.25">
      <c r="C19" s="381" t="s">
        <v>226</v>
      </c>
      <c r="D19" s="376"/>
      <c r="E19" s="377">
        <f t="shared" si="1"/>
        <v>42</v>
      </c>
      <c r="F19" s="377">
        <f t="shared" si="1"/>
        <v>39</v>
      </c>
      <c r="G19" s="377">
        <f>SUM(G27,G35,G43,G51,G59,G67)</f>
        <v>26</v>
      </c>
      <c r="H19" s="377">
        <f t="shared" ref="H19" si="6">SUM(H27,H35,H43,H51,H59,H67)</f>
        <v>26</v>
      </c>
    </row>
    <row r="20" spans="3:11" x14ac:dyDescent="0.2">
      <c r="C20" s="375"/>
      <c r="D20" s="376"/>
    </row>
    <row r="21" spans="3:11" ht="15" x14ac:dyDescent="0.25">
      <c r="C21" s="375" t="s">
        <v>154</v>
      </c>
      <c r="D21" s="376"/>
      <c r="E21" s="382">
        <f>IF(SUM(E22:E24)&lt;&gt;SUM(E25:E26),"ERROR",SUM(E22:E24))</f>
        <v>1544</v>
      </c>
      <c r="F21" s="382">
        <f>IF(SUM(F22:F24)&lt;&gt;SUM(F25:F26),"ERROR",SUM(F22:F24))</f>
        <v>1401</v>
      </c>
      <c r="G21" s="382">
        <f>IF(SUM(G22:G24)&lt;&gt;SUM(G25:G26),"ERROR",SUM(G22:G24))</f>
        <v>1555</v>
      </c>
      <c r="H21" s="382">
        <f>SUM(H25:H26)</f>
        <v>1687</v>
      </c>
    </row>
    <row r="22" spans="3:11" x14ac:dyDescent="0.2">
      <c r="C22" s="378" t="s">
        <v>183</v>
      </c>
      <c r="D22" s="376"/>
      <c r="E22" s="282">
        <v>999</v>
      </c>
      <c r="F22" s="282">
        <v>965</v>
      </c>
      <c r="G22" s="282">
        <v>981</v>
      </c>
      <c r="H22" s="282">
        <v>1195</v>
      </c>
    </row>
    <row r="23" spans="3:11" x14ac:dyDescent="0.2">
      <c r="C23" s="378" t="s">
        <v>184</v>
      </c>
      <c r="D23" s="376"/>
      <c r="E23" s="282">
        <v>464</v>
      </c>
      <c r="F23" s="282">
        <v>348</v>
      </c>
      <c r="G23" s="282">
        <v>492</v>
      </c>
      <c r="H23" s="282">
        <v>404</v>
      </c>
    </row>
    <row r="24" spans="3:11" x14ac:dyDescent="0.2">
      <c r="C24" s="378" t="s">
        <v>185</v>
      </c>
      <c r="D24" s="376"/>
      <c r="E24" s="282">
        <v>81</v>
      </c>
      <c r="F24" s="282">
        <v>88</v>
      </c>
      <c r="G24" s="282">
        <v>82</v>
      </c>
      <c r="H24" s="282">
        <v>88</v>
      </c>
    </row>
    <row r="25" spans="3:11" x14ac:dyDescent="0.2">
      <c r="C25" s="380" t="s">
        <v>26</v>
      </c>
      <c r="D25" s="376"/>
      <c r="E25" s="282">
        <v>724</v>
      </c>
      <c r="F25" s="282">
        <v>679</v>
      </c>
      <c r="G25" s="282">
        <v>777</v>
      </c>
      <c r="H25" s="282">
        <v>841</v>
      </c>
      <c r="J25" s="154"/>
      <c r="K25" s="280"/>
    </row>
    <row r="26" spans="3:11" x14ac:dyDescent="0.2">
      <c r="C26" s="380" t="s">
        <v>25</v>
      </c>
      <c r="D26" s="376"/>
      <c r="E26" s="282">
        <v>820</v>
      </c>
      <c r="F26" s="282">
        <v>722</v>
      </c>
      <c r="G26" s="282">
        <v>778</v>
      </c>
      <c r="H26" s="282">
        <v>846</v>
      </c>
      <c r="J26" s="352"/>
      <c r="K26" s="280"/>
    </row>
    <row r="27" spans="3:11" x14ac:dyDescent="0.2">
      <c r="C27" s="381" t="s">
        <v>226</v>
      </c>
      <c r="D27" s="376"/>
      <c r="E27" s="282">
        <v>26</v>
      </c>
      <c r="F27" s="282">
        <v>26</v>
      </c>
      <c r="G27" s="282">
        <v>26</v>
      </c>
      <c r="H27" s="282">
        <v>26</v>
      </c>
    </row>
    <row r="28" spans="3:11" x14ac:dyDescent="0.2">
      <c r="C28" s="381"/>
      <c r="D28" s="376"/>
    </row>
    <row r="29" spans="3:11" ht="15" x14ac:dyDescent="0.25">
      <c r="C29" s="375" t="s">
        <v>155</v>
      </c>
      <c r="D29" s="376"/>
      <c r="E29" s="382">
        <f t="shared" ref="E29:H29" si="7">IF(SUM(E30:E32)&lt;&gt;SUM(E33:E34),"ERROR",SUM(E30:E32))</f>
        <v>211</v>
      </c>
      <c r="F29" s="382">
        <f t="shared" si="7"/>
        <v>187</v>
      </c>
      <c r="G29" s="382">
        <f t="shared" si="7"/>
        <v>180</v>
      </c>
      <c r="H29" s="382">
        <f t="shared" si="7"/>
        <v>178</v>
      </c>
    </row>
    <row r="30" spans="3:11" x14ac:dyDescent="0.2">
      <c r="C30" s="378" t="s">
        <v>183</v>
      </c>
      <c r="D30" s="376"/>
      <c r="E30" s="282">
        <v>128</v>
      </c>
      <c r="F30" s="282">
        <v>96</v>
      </c>
      <c r="G30" s="282">
        <v>91</v>
      </c>
      <c r="H30" s="282">
        <v>97</v>
      </c>
    </row>
    <row r="31" spans="3:11" x14ac:dyDescent="0.2">
      <c r="C31" s="378" t="s">
        <v>184</v>
      </c>
      <c r="D31" s="376"/>
      <c r="E31" s="282">
        <v>16</v>
      </c>
      <c r="F31" s="282">
        <v>11</v>
      </c>
      <c r="G31" s="282">
        <v>17</v>
      </c>
      <c r="H31" s="282">
        <v>18</v>
      </c>
    </row>
    <row r="32" spans="3:11" x14ac:dyDescent="0.2">
      <c r="C32" s="378" t="s">
        <v>185</v>
      </c>
      <c r="D32" s="376"/>
      <c r="E32" s="282">
        <v>67</v>
      </c>
      <c r="F32" s="282">
        <v>80</v>
      </c>
      <c r="G32" s="282">
        <v>72</v>
      </c>
      <c r="H32" s="282">
        <v>63</v>
      </c>
    </row>
    <row r="33" spans="3:11" x14ac:dyDescent="0.2">
      <c r="C33" s="380" t="s">
        <v>26</v>
      </c>
      <c r="D33" s="376"/>
      <c r="E33" s="282">
        <v>106</v>
      </c>
      <c r="F33" s="282">
        <v>81</v>
      </c>
      <c r="G33" s="282">
        <v>86</v>
      </c>
      <c r="H33" s="282">
        <v>97</v>
      </c>
      <c r="J33" s="154"/>
      <c r="K33" s="280"/>
    </row>
    <row r="34" spans="3:11" x14ac:dyDescent="0.2">
      <c r="C34" s="380" t="s">
        <v>25</v>
      </c>
      <c r="D34" s="376"/>
      <c r="E34" s="282">
        <v>105</v>
      </c>
      <c r="F34" s="282">
        <v>106</v>
      </c>
      <c r="G34" s="282">
        <v>94</v>
      </c>
      <c r="H34" s="282">
        <v>81</v>
      </c>
      <c r="J34" s="352"/>
      <c r="K34" s="280"/>
    </row>
    <row r="35" spans="3:11" x14ac:dyDescent="0.2">
      <c r="C35" s="381" t="s">
        <v>226</v>
      </c>
      <c r="D35" s="376"/>
      <c r="E35" s="282">
        <v>6</v>
      </c>
      <c r="F35" s="282">
        <v>5</v>
      </c>
    </row>
    <row r="36" spans="3:11" x14ac:dyDescent="0.2">
      <c r="C36" s="381"/>
      <c r="D36" s="376"/>
    </row>
    <row r="37" spans="3:11" ht="15" x14ac:dyDescent="0.25">
      <c r="C37" s="375" t="s">
        <v>156</v>
      </c>
      <c r="D37" s="376"/>
      <c r="E37" s="382">
        <f t="shared" ref="E37:H37" si="8">IF(SUM(E38:E40)&lt;&gt;SUM(E41:E42),"ERROR",SUM(E38:E40))</f>
        <v>141</v>
      </c>
      <c r="F37" s="382">
        <f t="shared" si="8"/>
        <v>171</v>
      </c>
      <c r="G37" s="382">
        <f t="shared" si="8"/>
        <v>172</v>
      </c>
      <c r="H37" s="382">
        <f t="shared" si="8"/>
        <v>154</v>
      </c>
    </row>
    <row r="38" spans="3:11" x14ac:dyDescent="0.2">
      <c r="C38" s="378" t="s">
        <v>183</v>
      </c>
      <c r="D38" s="376"/>
      <c r="E38" s="282">
        <v>43</v>
      </c>
      <c r="F38" s="282">
        <v>71</v>
      </c>
      <c r="G38" s="282">
        <v>66</v>
      </c>
      <c r="H38" s="282">
        <v>65</v>
      </c>
    </row>
    <row r="39" spans="3:11" x14ac:dyDescent="0.2">
      <c r="C39" s="378" t="s">
        <v>184</v>
      </c>
      <c r="D39" s="376"/>
    </row>
    <row r="40" spans="3:11" x14ac:dyDescent="0.2">
      <c r="C40" s="378" t="s">
        <v>185</v>
      </c>
      <c r="D40" s="376"/>
      <c r="E40" s="282">
        <v>98</v>
      </c>
      <c r="F40" s="282">
        <v>100</v>
      </c>
      <c r="G40" s="282">
        <v>106</v>
      </c>
      <c r="H40" s="282">
        <v>89</v>
      </c>
    </row>
    <row r="41" spans="3:11" x14ac:dyDescent="0.2">
      <c r="C41" s="380" t="s">
        <v>26</v>
      </c>
      <c r="D41" s="376"/>
      <c r="E41" s="282">
        <v>66</v>
      </c>
      <c r="F41" s="282">
        <v>81</v>
      </c>
      <c r="G41" s="282">
        <v>69</v>
      </c>
      <c r="H41" s="282">
        <v>74</v>
      </c>
      <c r="J41" s="154"/>
      <c r="K41" s="280"/>
    </row>
    <row r="42" spans="3:11" x14ac:dyDescent="0.2">
      <c r="C42" s="380" t="s">
        <v>25</v>
      </c>
      <c r="D42" s="376"/>
      <c r="E42" s="282">
        <v>75</v>
      </c>
      <c r="F42" s="282">
        <v>90</v>
      </c>
      <c r="G42" s="282">
        <v>103</v>
      </c>
      <c r="H42" s="282">
        <v>80</v>
      </c>
      <c r="J42" s="352"/>
      <c r="K42" s="280"/>
    </row>
    <row r="43" spans="3:11" x14ac:dyDescent="0.2">
      <c r="C43" s="381" t="s">
        <v>226</v>
      </c>
      <c r="D43" s="376"/>
      <c r="E43" s="282">
        <v>4</v>
      </c>
      <c r="F43" s="282">
        <v>3</v>
      </c>
    </row>
    <row r="44" spans="3:11" x14ac:dyDescent="0.2">
      <c r="C44" s="381"/>
      <c r="D44" s="376"/>
    </row>
    <row r="45" spans="3:11" ht="15" x14ac:dyDescent="0.25">
      <c r="C45" s="375" t="s">
        <v>157</v>
      </c>
      <c r="D45" s="376"/>
      <c r="E45" s="382">
        <f t="shared" ref="E45:H45" si="9">IF(SUM(E46:E48)&lt;&gt;SUM(E49:E50),"ERROR",SUM(E46:E48))</f>
        <v>19</v>
      </c>
      <c r="F45" s="382">
        <f t="shared" si="9"/>
        <v>17</v>
      </c>
      <c r="G45" s="382">
        <f t="shared" si="9"/>
        <v>9</v>
      </c>
      <c r="H45" s="382">
        <f t="shared" si="9"/>
        <v>9</v>
      </c>
    </row>
    <row r="46" spans="3:11" x14ac:dyDescent="0.2">
      <c r="C46" s="378" t="s">
        <v>183</v>
      </c>
      <c r="D46" s="376"/>
    </row>
    <row r="47" spans="3:11" x14ac:dyDescent="0.2">
      <c r="C47" s="378" t="s">
        <v>184</v>
      </c>
      <c r="D47" s="376"/>
    </row>
    <row r="48" spans="3:11" x14ac:dyDescent="0.2">
      <c r="C48" s="378" t="s">
        <v>185</v>
      </c>
      <c r="D48" s="376"/>
      <c r="E48" s="282">
        <v>19</v>
      </c>
      <c r="F48" s="282">
        <v>17</v>
      </c>
      <c r="G48" s="282">
        <v>9</v>
      </c>
      <c r="H48" s="282">
        <v>9</v>
      </c>
    </row>
    <row r="49" spans="3:11" x14ac:dyDescent="0.2">
      <c r="C49" s="380" t="s">
        <v>26</v>
      </c>
      <c r="D49" s="376"/>
      <c r="E49" s="282">
        <v>11</v>
      </c>
      <c r="F49" s="282">
        <v>10</v>
      </c>
      <c r="G49" s="282">
        <v>4</v>
      </c>
      <c r="H49" s="282">
        <v>5</v>
      </c>
      <c r="J49" s="154"/>
      <c r="K49" s="280"/>
    </row>
    <row r="50" spans="3:11" x14ac:dyDescent="0.2">
      <c r="C50" s="380" t="s">
        <v>25</v>
      </c>
      <c r="D50" s="376"/>
      <c r="E50" s="282">
        <v>8</v>
      </c>
      <c r="F50" s="282">
        <v>7</v>
      </c>
      <c r="G50" s="282">
        <v>5</v>
      </c>
      <c r="H50" s="282">
        <v>4</v>
      </c>
      <c r="J50" s="352"/>
      <c r="K50" s="280"/>
    </row>
    <row r="51" spans="3:11" x14ac:dyDescent="0.2">
      <c r="C51" s="381" t="s">
        <v>226</v>
      </c>
      <c r="D51" s="376"/>
    </row>
    <row r="52" spans="3:11" x14ac:dyDescent="0.2">
      <c r="C52" s="381"/>
      <c r="D52" s="376"/>
    </row>
    <row r="53" spans="3:11" ht="15" x14ac:dyDescent="0.25">
      <c r="C53" s="375" t="s">
        <v>158</v>
      </c>
      <c r="D53" s="376"/>
      <c r="E53" s="382">
        <f t="shared" ref="E53:H53" si="10">IF(SUM(E54:E56)&lt;&gt;SUM(E57:E58),"ERROR",SUM(E54:E56))</f>
        <v>34</v>
      </c>
      <c r="F53" s="382">
        <f t="shared" si="10"/>
        <v>9</v>
      </c>
      <c r="G53" s="382">
        <f t="shared" si="10"/>
        <v>15</v>
      </c>
      <c r="H53" s="382">
        <f t="shared" si="10"/>
        <v>14</v>
      </c>
    </row>
    <row r="54" spans="3:11" x14ac:dyDescent="0.2">
      <c r="C54" s="378" t="s">
        <v>183</v>
      </c>
      <c r="D54" s="376"/>
      <c r="E54" s="282">
        <v>13</v>
      </c>
    </row>
    <row r="55" spans="3:11" x14ac:dyDescent="0.2">
      <c r="C55" s="378" t="s">
        <v>184</v>
      </c>
      <c r="D55" s="376"/>
    </row>
    <row r="56" spans="3:11" x14ac:dyDescent="0.2">
      <c r="C56" s="378" t="s">
        <v>185</v>
      </c>
      <c r="D56" s="376"/>
      <c r="E56" s="282">
        <v>21</v>
      </c>
      <c r="F56" s="282">
        <v>9</v>
      </c>
      <c r="G56" s="282">
        <v>15</v>
      </c>
      <c r="H56" s="282">
        <v>14</v>
      </c>
    </row>
    <row r="57" spans="3:11" x14ac:dyDescent="0.2">
      <c r="C57" s="380" t="s">
        <v>26</v>
      </c>
      <c r="D57" s="376"/>
      <c r="E57" s="282">
        <v>14</v>
      </c>
      <c r="F57" s="282">
        <v>4</v>
      </c>
      <c r="G57" s="282">
        <v>9</v>
      </c>
      <c r="H57" s="282">
        <v>7</v>
      </c>
      <c r="J57" s="154"/>
      <c r="K57" s="280"/>
    </row>
    <row r="58" spans="3:11" x14ac:dyDescent="0.2">
      <c r="C58" s="380" t="s">
        <v>25</v>
      </c>
      <c r="D58" s="376"/>
      <c r="E58" s="282">
        <v>20</v>
      </c>
      <c r="F58" s="282">
        <v>5</v>
      </c>
      <c r="G58" s="282">
        <v>6</v>
      </c>
      <c r="H58" s="282">
        <v>7</v>
      </c>
      <c r="J58" s="352"/>
      <c r="K58" s="280"/>
    </row>
    <row r="59" spans="3:11" x14ac:dyDescent="0.2">
      <c r="C59" s="381" t="s">
        <v>226</v>
      </c>
      <c r="D59" s="376"/>
      <c r="E59" s="282">
        <v>2</v>
      </c>
      <c r="F59" s="282">
        <v>1</v>
      </c>
    </row>
    <row r="60" spans="3:11" x14ac:dyDescent="0.2">
      <c r="C60" s="381"/>
      <c r="D60" s="376"/>
      <c r="H60" s="283"/>
    </row>
    <row r="61" spans="3:11" ht="15" x14ac:dyDescent="0.25">
      <c r="C61" s="375" t="s">
        <v>200</v>
      </c>
      <c r="D61" s="376"/>
      <c r="E61" s="382">
        <f t="shared" ref="E61:H61" si="11">IF(SUM(E62:E64)&lt;&gt;SUM(E65:E66),"ERROR",SUM(E62:E64))</f>
        <v>69</v>
      </c>
      <c r="F61" s="382">
        <f t="shared" si="11"/>
        <v>69</v>
      </c>
      <c r="G61" s="382">
        <f t="shared" si="11"/>
        <v>63</v>
      </c>
      <c r="H61" s="382">
        <f t="shared" si="11"/>
        <v>64</v>
      </c>
    </row>
    <row r="62" spans="3:11" x14ac:dyDescent="0.2">
      <c r="C62" s="378" t="s">
        <v>183</v>
      </c>
      <c r="D62" s="376"/>
      <c r="E62" s="282">
        <v>43</v>
      </c>
      <c r="F62" s="282">
        <v>48</v>
      </c>
      <c r="G62" s="282">
        <v>45</v>
      </c>
      <c r="H62" s="282">
        <v>52</v>
      </c>
    </row>
    <row r="63" spans="3:11" x14ac:dyDescent="0.2">
      <c r="C63" s="378" t="s">
        <v>184</v>
      </c>
      <c r="D63" s="376"/>
      <c r="E63" s="283">
        <v>0</v>
      </c>
    </row>
    <row r="64" spans="3:11" x14ac:dyDescent="0.2">
      <c r="C64" s="378" t="s">
        <v>185</v>
      </c>
      <c r="D64" s="376"/>
      <c r="E64" s="282">
        <v>26</v>
      </c>
      <c r="F64" s="282">
        <v>21</v>
      </c>
      <c r="G64" s="282">
        <v>18</v>
      </c>
      <c r="H64" s="282">
        <v>12</v>
      </c>
    </row>
    <row r="65" spans="2:11" x14ac:dyDescent="0.2">
      <c r="C65" s="380" t="s">
        <v>26</v>
      </c>
      <c r="D65" s="376"/>
      <c r="E65" s="282">
        <v>23</v>
      </c>
      <c r="F65" s="282">
        <v>25</v>
      </c>
      <c r="G65" s="282">
        <v>30</v>
      </c>
      <c r="H65" s="282">
        <v>29</v>
      </c>
      <c r="J65" s="154"/>
      <c r="K65" s="280"/>
    </row>
    <row r="66" spans="2:11" x14ac:dyDescent="0.2">
      <c r="C66" s="380" t="s">
        <v>25</v>
      </c>
      <c r="D66" s="376"/>
      <c r="E66" s="282">
        <v>46</v>
      </c>
      <c r="F66" s="282">
        <v>44</v>
      </c>
      <c r="G66" s="282">
        <v>33</v>
      </c>
      <c r="H66" s="282">
        <v>35</v>
      </c>
      <c r="J66" s="352"/>
      <c r="K66" s="280"/>
    </row>
    <row r="67" spans="2:11" x14ac:dyDescent="0.2">
      <c r="C67" s="383" t="s">
        <v>226</v>
      </c>
      <c r="D67" s="383"/>
      <c r="E67" s="384">
        <v>4</v>
      </c>
      <c r="F67" s="384">
        <v>4</v>
      </c>
      <c r="G67" s="384"/>
      <c r="H67" s="384"/>
    </row>
    <row r="68" spans="2:11" x14ac:dyDescent="0.2">
      <c r="C68" s="363"/>
    </row>
    <row r="69" spans="2:11" x14ac:dyDescent="0.2">
      <c r="B69" s="348" t="s">
        <v>283</v>
      </c>
      <c r="C69" s="283"/>
      <c r="D69" s="385"/>
    </row>
    <row r="70" spans="2:11" ht="17.25" customHeight="1" x14ac:dyDescent="0.2">
      <c r="B70" s="283"/>
      <c r="C70" s="386"/>
      <c r="D70" s="386"/>
    </row>
    <row r="71" spans="2:11" x14ac:dyDescent="0.2">
      <c r="B71" s="387"/>
      <c r="C71" s="387"/>
      <c r="D71" s="387"/>
    </row>
  </sheetData>
  <mergeCells count="2">
    <mergeCell ref="B7:H7"/>
    <mergeCell ref="B8:H8"/>
  </mergeCells>
  <pageMargins left="0.7" right="0.7" top="0.75" bottom="0.75" header="0.3" footer="0.3"/>
  <pageSetup scale="69" orientation="portrait" r:id="rId1"/>
  <ignoredErrors>
    <ignoredError sqref="H2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9698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161925</xdr:colOff>
                <xdr:row>2</xdr:row>
                <xdr:rowOff>9525</xdr:rowOff>
              </to>
            </anchor>
          </objectPr>
        </oleObject>
      </mc:Choice>
      <mc:Fallback>
        <oleObject progId="MSPhotoEd.3" shapeId="29698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47"/>
  <sheetViews>
    <sheetView view="pageBreakPreview" zoomScale="60" zoomScaleNormal="100" workbookViewId="0">
      <selection activeCell="B7" sqref="B7:J47"/>
    </sheetView>
  </sheetViews>
  <sheetFormatPr defaultRowHeight="12.75" x14ac:dyDescent="0.2"/>
  <cols>
    <col min="3" max="3" width="30" customWidth="1"/>
    <col min="4" max="5" width="14" customWidth="1"/>
    <col min="6" max="6" width="13" customWidth="1"/>
    <col min="7" max="7" width="15.28515625" customWidth="1"/>
    <col min="8" max="8" width="10.42578125" customWidth="1"/>
    <col min="9" max="9" width="13" customWidth="1"/>
    <col min="10" max="10" width="14.7109375" customWidth="1"/>
  </cols>
  <sheetData>
    <row r="2" spans="2:24" ht="15" x14ac:dyDescent="0.25">
      <c r="I2" s="4"/>
      <c r="J2" s="72" t="s">
        <v>207</v>
      </c>
      <c r="N2" s="100" t="s">
        <v>207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2:24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7" spans="2:24" ht="23.25" x14ac:dyDescent="0.35">
      <c r="B7" s="286" t="s">
        <v>293</v>
      </c>
      <c r="C7" s="407" t="s">
        <v>281</v>
      </c>
      <c r="D7" s="407"/>
      <c r="E7" s="407"/>
      <c r="F7" s="407"/>
      <c r="G7" s="407"/>
      <c r="H7" s="407"/>
      <c r="I7" s="407"/>
      <c r="J7" s="407"/>
    </row>
    <row r="8" spans="2:24" ht="15" x14ac:dyDescent="0.25">
      <c r="B8" s="160"/>
      <c r="C8" s="322"/>
      <c r="D8" s="308"/>
      <c r="E8" s="308"/>
      <c r="F8" s="308"/>
      <c r="G8" s="308"/>
      <c r="H8" s="308"/>
      <c r="I8" s="308"/>
      <c r="J8" s="308"/>
      <c r="K8" s="19"/>
    </row>
    <row r="9" spans="2:24" ht="15" x14ac:dyDescent="0.25">
      <c r="B9" s="160"/>
      <c r="C9" s="323" t="s">
        <v>265</v>
      </c>
      <c r="D9" s="309" t="s">
        <v>0</v>
      </c>
      <c r="E9" s="309" t="s">
        <v>0</v>
      </c>
      <c r="F9" s="309"/>
      <c r="G9" s="309"/>
      <c r="H9" s="309"/>
      <c r="I9" s="309"/>
      <c r="J9" s="160"/>
      <c r="K9" s="19"/>
    </row>
    <row r="10" spans="2:24" ht="15" x14ac:dyDescent="0.25">
      <c r="B10" s="160"/>
      <c r="C10" s="317" t="s">
        <v>266</v>
      </c>
      <c r="D10" s="309" t="s">
        <v>154</v>
      </c>
      <c r="E10" s="309" t="s">
        <v>155</v>
      </c>
      <c r="F10" s="309" t="s">
        <v>156</v>
      </c>
      <c r="G10" s="309" t="s">
        <v>157</v>
      </c>
      <c r="H10" s="309" t="s">
        <v>158</v>
      </c>
      <c r="I10" s="309" t="s">
        <v>18</v>
      </c>
      <c r="J10" s="317" t="s">
        <v>267</v>
      </c>
      <c r="K10" s="19"/>
    </row>
    <row r="11" spans="2:24" ht="15" x14ac:dyDescent="0.25">
      <c r="B11" s="160"/>
      <c r="C11" s="160" t="s">
        <v>268</v>
      </c>
      <c r="D11" s="311">
        <f>5342+546</f>
        <v>5888</v>
      </c>
      <c r="E11" s="311">
        <f>1098+14</f>
        <v>1112</v>
      </c>
      <c r="F11" s="311">
        <f>222+425</f>
        <v>647</v>
      </c>
      <c r="G11" s="311">
        <f>117+81</f>
        <v>198</v>
      </c>
      <c r="H11" s="311">
        <f>98+249</f>
        <v>347</v>
      </c>
      <c r="I11" s="311">
        <f>465</f>
        <v>465</v>
      </c>
      <c r="J11" s="318">
        <f>SUM(D11:I11)</f>
        <v>8657</v>
      </c>
      <c r="K11" s="19"/>
    </row>
    <row r="12" spans="2:24" ht="15" x14ac:dyDescent="0.25">
      <c r="B12" s="160"/>
      <c r="C12" s="160" t="s">
        <v>269</v>
      </c>
      <c r="D12" s="311">
        <f>5044+4652</f>
        <v>9696</v>
      </c>
      <c r="E12" s="311">
        <f>671+62</f>
        <v>733</v>
      </c>
      <c r="F12" s="311">
        <f>170+303</f>
        <v>473</v>
      </c>
      <c r="G12" s="311">
        <f>160+109</f>
        <v>269</v>
      </c>
      <c r="H12" s="311">
        <f>96+183</f>
        <v>279</v>
      </c>
      <c r="I12" s="311">
        <f>295+258</f>
        <v>553</v>
      </c>
      <c r="J12" s="318">
        <f t="shared" ref="J12:J18" si="0">SUM(D12:I12)</f>
        <v>12003</v>
      </c>
      <c r="K12" s="19"/>
    </row>
    <row r="13" spans="2:24" ht="15" x14ac:dyDescent="0.25">
      <c r="B13" s="160"/>
      <c r="C13" s="160" t="s">
        <v>270</v>
      </c>
      <c r="D13" s="311">
        <f>5459+6067</f>
        <v>11526</v>
      </c>
      <c r="E13" s="311">
        <f>623+702</f>
        <v>1325</v>
      </c>
      <c r="F13" s="311">
        <f>152+269</f>
        <v>421</v>
      </c>
      <c r="G13" s="311">
        <f>171+103</f>
        <v>274</v>
      </c>
      <c r="H13" s="311">
        <f>64+131</f>
        <v>195</v>
      </c>
      <c r="I13" s="311">
        <f>172+118</f>
        <v>290</v>
      </c>
      <c r="J13" s="318">
        <f t="shared" si="0"/>
        <v>14031</v>
      </c>
      <c r="K13" s="19"/>
    </row>
    <row r="14" spans="2:24" ht="15" x14ac:dyDescent="0.25">
      <c r="B14" s="160"/>
      <c r="C14" s="160" t="s">
        <v>271</v>
      </c>
      <c r="D14" s="311">
        <f>6118+5916</f>
        <v>12034</v>
      </c>
      <c r="E14" s="311">
        <f>498+450</f>
        <v>948</v>
      </c>
      <c r="F14" s="311">
        <v>0</v>
      </c>
      <c r="G14" s="311">
        <v>0</v>
      </c>
      <c r="H14" s="311">
        <v>0</v>
      </c>
      <c r="I14" s="311">
        <f>64+102</f>
        <v>166</v>
      </c>
      <c r="J14" s="318">
        <f t="shared" si="0"/>
        <v>13148</v>
      </c>
      <c r="K14" s="19"/>
    </row>
    <row r="15" spans="2:24" ht="15" x14ac:dyDescent="0.25">
      <c r="B15" s="160"/>
      <c r="C15" s="160" t="s">
        <v>272</v>
      </c>
      <c r="D15" s="311">
        <f>4550+5497</f>
        <v>10047</v>
      </c>
      <c r="E15" s="311">
        <f>573+808</f>
        <v>1381</v>
      </c>
      <c r="F15" s="311">
        <f>198+389</f>
        <v>587</v>
      </c>
      <c r="G15" s="311">
        <f>395+201</f>
        <v>596</v>
      </c>
      <c r="H15" s="311">
        <f>125+252</f>
        <v>377</v>
      </c>
      <c r="I15" s="311">
        <f>175+184</f>
        <v>359</v>
      </c>
      <c r="J15" s="318">
        <f t="shared" si="0"/>
        <v>13347</v>
      </c>
      <c r="K15" s="19"/>
    </row>
    <row r="16" spans="2:24" ht="15" x14ac:dyDescent="0.25">
      <c r="B16" s="160"/>
      <c r="C16" s="160" t="s">
        <v>273</v>
      </c>
      <c r="D16" s="311">
        <f>1192+6081</f>
        <v>7273</v>
      </c>
      <c r="E16" s="311">
        <f>5241+3856</f>
        <v>9097</v>
      </c>
      <c r="F16" s="311">
        <f>257+411</f>
        <v>668</v>
      </c>
      <c r="G16" s="311">
        <f>81+52</f>
        <v>133</v>
      </c>
      <c r="H16" s="311">
        <f>155+182</f>
        <v>337</v>
      </c>
      <c r="I16" s="311">
        <f>258+210</f>
        <v>468</v>
      </c>
      <c r="J16" s="318">
        <f t="shared" si="0"/>
        <v>17976</v>
      </c>
      <c r="K16" s="19"/>
    </row>
    <row r="17" spans="2:11" ht="15" x14ac:dyDescent="0.25">
      <c r="B17" s="160"/>
      <c r="C17" s="160" t="s">
        <v>274</v>
      </c>
      <c r="D17" s="311">
        <f>5460+4598</f>
        <v>10058</v>
      </c>
      <c r="E17" s="311">
        <f>2027+1597</f>
        <v>3624</v>
      </c>
      <c r="F17" s="311">
        <f>239+351</f>
        <v>590</v>
      </c>
      <c r="G17" s="311">
        <f>33+25</f>
        <v>58</v>
      </c>
      <c r="H17" s="311">
        <f>100+141</f>
        <v>241</v>
      </c>
      <c r="I17" s="311">
        <f>156+103</f>
        <v>259</v>
      </c>
      <c r="J17" s="318">
        <f t="shared" si="0"/>
        <v>14830</v>
      </c>
      <c r="K17" s="19"/>
    </row>
    <row r="18" spans="2:11" ht="15" x14ac:dyDescent="0.25">
      <c r="B18" s="160"/>
      <c r="C18" s="160" t="s">
        <v>275</v>
      </c>
      <c r="D18" s="311">
        <f>3095+3987</f>
        <v>7082</v>
      </c>
      <c r="E18" s="311">
        <f>5+956</f>
        <v>961</v>
      </c>
      <c r="F18" s="311">
        <f>190+33</f>
        <v>223</v>
      </c>
      <c r="G18" s="311">
        <f>5+8</f>
        <v>13</v>
      </c>
      <c r="H18" s="311">
        <f>112+6</f>
        <v>118</v>
      </c>
      <c r="I18" s="311">
        <f>54+34</f>
        <v>88</v>
      </c>
      <c r="J18" s="318">
        <f t="shared" si="0"/>
        <v>8485</v>
      </c>
      <c r="K18" s="19"/>
    </row>
    <row r="19" spans="2:11" ht="15" x14ac:dyDescent="0.25">
      <c r="B19" s="160"/>
      <c r="C19" s="160"/>
      <c r="D19" s="311"/>
      <c r="E19" s="311"/>
      <c r="F19" s="311"/>
      <c r="G19" s="311"/>
      <c r="H19" s="311"/>
      <c r="I19" s="311"/>
      <c r="J19" s="317"/>
      <c r="K19" s="19"/>
    </row>
    <row r="20" spans="2:11" ht="15" x14ac:dyDescent="0.25">
      <c r="B20" s="160"/>
      <c r="C20" s="317" t="s">
        <v>276</v>
      </c>
      <c r="D20" s="311"/>
      <c r="E20" s="311"/>
      <c r="F20" s="311"/>
      <c r="G20" s="311"/>
      <c r="H20" s="311"/>
      <c r="I20" s="311"/>
      <c r="J20" s="317"/>
      <c r="K20" s="19"/>
    </row>
    <row r="21" spans="2:11" ht="15" x14ac:dyDescent="0.25">
      <c r="B21" s="160"/>
      <c r="C21" s="160" t="s">
        <v>268</v>
      </c>
      <c r="D21" s="311">
        <f>1066+370</f>
        <v>1436</v>
      </c>
      <c r="E21" s="311">
        <f>255+238</f>
        <v>493</v>
      </c>
      <c r="F21" s="311">
        <f>81+81</f>
        <v>162</v>
      </c>
      <c r="G21" s="311">
        <v>3</v>
      </c>
      <c r="H21" s="311">
        <f>22+45</f>
        <v>67</v>
      </c>
      <c r="I21" s="311">
        <f>136+97</f>
        <v>233</v>
      </c>
      <c r="J21" s="318">
        <f>SUM(D21:I21)</f>
        <v>2394</v>
      </c>
      <c r="K21" s="19"/>
    </row>
    <row r="22" spans="2:11" ht="15" x14ac:dyDescent="0.25">
      <c r="B22" s="160"/>
      <c r="C22" s="160" t="s">
        <v>269</v>
      </c>
      <c r="D22" s="311">
        <f>1067+361</f>
        <v>1428</v>
      </c>
      <c r="E22" s="311">
        <f>246+180</f>
        <v>426</v>
      </c>
      <c r="F22" s="311">
        <f>103+58</f>
        <v>161</v>
      </c>
      <c r="G22" s="311">
        <f>20+14</f>
        <v>34</v>
      </c>
      <c r="H22" s="311">
        <f>23+26</f>
        <v>49</v>
      </c>
      <c r="I22" s="311">
        <f>110+73</f>
        <v>183</v>
      </c>
      <c r="J22" s="318">
        <f>SUM(D22:I22)</f>
        <v>2281</v>
      </c>
      <c r="K22" s="19"/>
    </row>
    <row r="23" spans="2:11" ht="15" x14ac:dyDescent="0.25">
      <c r="B23" s="160"/>
      <c r="C23" s="160" t="s">
        <v>270</v>
      </c>
      <c r="D23" s="311">
        <f>1015+300</f>
        <v>1315</v>
      </c>
      <c r="E23" s="311">
        <f>147+165</f>
        <v>312</v>
      </c>
      <c r="F23" s="311">
        <f>87+48</f>
        <v>135</v>
      </c>
      <c r="G23" s="311">
        <f>17+10</f>
        <v>27</v>
      </c>
      <c r="H23" s="311">
        <f>18+23</f>
        <v>41</v>
      </c>
      <c r="I23" s="311">
        <f>52+34</f>
        <v>86</v>
      </c>
      <c r="J23" s="318">
        <f>SUM(D23:I23)</f>
        <v>1916</v>
      </c>
      <c r="K23" s="19"/>
    </row>
    <row r="24" spans="2:11" ht="15" x14ac:dyDescent="0.25">
      <c r="B24" s="160"/>
      <c r="C24" s="160" t="s">
        <v>271</v>
      </c>
      <c r="D24" s="311">
        <f>1066+314</f>
        <v>1380</v>
      </c>
      <c r="E24" s="311">
        <f>138+148</f>
        <v>286</v>
      </c>
      <c r="F24" s="311">
        <f>76+45</f>
        <v>121</v>
      </c>
      <c r="G24" s="311">
        <f>12+3</f>
        <v>15</v>
      </c>
      <c r="H24" s="311">
        <f>16+10</f>
        <v>26</v>
      </c>
      <c r="I24" s="311" t="s">
        <v>277</v>
      </c>
      <c r="J24" s="318">
        <f>SUM(D24:I24)</f>
        <v>1828</v>
      </c>
      <c r="K24" s="19"/>
    </row>
    <row r="25" spans="2:11" ht="15" x14ac:dyDescent="0.25">
      <c r="B25" s="160"/>
      <c r="C25" s="160"/>
      <c r="D25" s="311"/>
      <c r="E25" s="311"/>
      <c r="F25" s="311"/>
      <c r="G25" s="311"/>
      <c r="H25" s="311"/>
      <c r="I25" s="311"/>
      <c r="J25" s="317"/>
      <c r="K25" s="19"/>
    </row>
    <row r="26" spans="2:11" ht="15" x14ac:dyDescent="0.25">
      <c r="B26" s="160"/>
      <c r="C26" s="160"/>
      <c r="D26" s="311"/>
      <c r="E26" s="311"/>
      <c r="F26" s="311"/>
      <c r="G26" s="311"/>
      <c r="H26" s="311"/>
      <c r="I26" s="311"/>
      <c r="J26" s="317"/>
      <c r="K26" s="19"/>
    </row>
    <row r="27" spans="2:11" ht="15" x14ac:dyDescent="0.25">
      <c r="B27" s="160"/>
      <c r="C27" s="323" t="s">
        <v>278</v>
      </c>
      <c r="D27" s="311">
        <f t="shared" ref="D27:I27" si="1">SUM(D11:D25)</f>
        <v>79163</v>
      </c>
      <c r="E27" s="311">
        <f t="shared" si="1"/>
        <v>20698</v>
      </c>
      <c r="F27" s="311">
        <f t="shared" si="1"/>
        <v>4188</v>
      </c>
      <c r="G27" s="311">
        <f t="shared" si="1"/>
        <v>1620</v>
      </c>
      <c r="H27" s="311">
        <f t="shared" si="1"/>
        <v>2077</v>
      </c>
      <c r="I27" s="311">
        <f t="shared" si="1"/>
        <v>3150</v>
      </c>
      <c r="J27" s="318">
        <f>SUM(D27:I27)</f>
        <v>110896</v>
      </c>
      <c r="K27" s="19"/>
    </row>
    <row r="28" spans="2:11" ht="15" x14ac:dyDescent="0.25">
      <c r="B28" s="160"/>
      <c r="C28" s="323" t="s">
        <v>279</v>
      </c>
      <c r="D28" s="311">
        <f t="shared" ref="D28:J28" si="2">D27/50</f>
        <v>1583.26</v>
      </c>
      <c r="E28" s="311">
        <f t="shared" si="2"/>
        <v>413.96</v>
      </c>
      <c r="F28" s="311">
        <f t="shared" si="2"/>
        <v>83.76</v>
      </c>
      <c r="G28" s="311">
        <f t="shared" si="2"/>
        <v>32.4</v>
      </c>
      <c r="H28" s="311">
        <f t="shared" si="2"/>
        <v>41.54</v>
      </c>
      <c r="I28" s="311">
        <f t="shared" si="2"/>
        <v>63</v>
      </c>
      <c r="J28" s="318">
        <f t="shared" si="2"/>
        <v>2217.92</v>
      </c>
      <c r="K28" s="19"/>
    </row>
    <row r="29" spans="2:11" ht="15" x14ac:dyDescent="0.25">
      <c r="B29" s="160"/>
      <c r="C29" s="324" t="s">
        <v>280</v>
      </c>
      <c r="D29" s="313">
        <f>SUM(D27:I27)</f>
        <v>110896</v>
      </c>
      <c r="E29" s="314"/>
      <c r="F29" s="314"/>
      <c r="G29" s="314"/>
      <c r="H29" s="314"/>
      <c r="I29" s="314"/>
      <c r="J29" s="159"/>
      <c r="K29" s="19"/>
    </row>
    <row r="30" spans="2:11" x14ac:dyDescent="0.2">
      <c r="B30" s="158"/>
      <c r="C30" s="158"/>
      <c r="D30" s="158"/>
      <c r="E30" s="158"/>
      <c r="F30" s="158"/>
      <c r="G30" s="158"/>
      <c r="H30" s="158"/>
      <c r="I30" s="158"/>
      <c r="J30" s="158"/>
    </row>
    <row r="31" spans="2:11" x14ac:dyDescent="0.2">
      <c r="B31" s="158"/>
      <c r="C31" s="158"/>
      <c r="D31" s="158"/>
      <c r="E31" s="158"/>
      <c r="F31" s="158"/>
      <c r="G31" s="158"/>
      <c r="H31" s="158"/>
      <c r="I31" s="158"/>
      <c r="J31" s="158"/>
    </row>
    <row r="32" spans="2:11" x14ac:dyDescent="0.2">
      <c r="B32" s="158"/>
      <c r="C32" s="158"/>
      <c r="D32" s="158"/>
      <c r="E32" s="158"/>
      <c r="F32" s="158"/>
      <c r="G32" s="158"/>
      <c r="H32" s="158"/>
      <c r="I32" s="158"/>
      <c r="J32" s="158"/>
    </row>
    <row r="33" spans="2:10" x14ac:dyDescent="0.2">
      <c r="B33" s="158"/>
      <c r="C33" s="158"/>
      <c r="D33" s="158"/>
      <c r="E33" s="158"/>
      <c r="F33" s="158"/>
      <c r="G33" s="158"/>
      <c r="H33" s="158"/>
      <c r="I33" s="158"/>
      <c r="J33" s="158"/>
    </row>
    <row r="34" spans="2:10" x14ac:dyDescent="0.2">
      <c r="B34" s="160"/>
      <c r="C34" s="158"/>
      <c r="D34" s="158"/>
      <c r="E34" s="158"/>
      <c r="F34" s="158"/>
      <c r="G34" s="158"/>
      <c r="H34" s="158"/>
      <c r="I34" s="158"/>
      <c r="J34" s="158"/>
    </row>
    <row r="35" spans="2:10" ht="23.25" x14ac:dyDescent="0.35">
      <c r="B35" s="286" t="s">
        <v>294</v>
      </c>
      <c r="C35" s="412" t="s">
        <v>295</v>
      </c>
      <c r="D35" s="412"/>
      <c r="E35" s="412"/>
      <c r="F35" s="412"/>
      <c r="G35" s="412"/>
      <c r="H35" s="326"/>
      <c r="I35" s="326"/>
      <c r="J35" s="326"/>
    </row>
    <row r="36" spans="2:10" ht="15" x14ac:dyDescent="0.25">
      <c r="B36" s="160"/>
      <c r="C36" s="408" t="s">
        <v>253</v>
      </c>
      <c r="D36" s="408"/>
      <c r="E36" s="409"/>
      <c r="F36" s="410" t="s">
        <v>256</v>
      </c>
      <c r="G36" s="408"/>
      <c r="H36" s="160"/>
      <c r="I36" s="158"/>
      <c r="J36" s="158"/>
    </row>
    <row r="37" spans="2:10" ht="15" x14ac:dyDescent="0.25">
      <c r="B37" s="160"/>
      <c r="C37" s="315"/>
      <c r="D37" s="411">
        <v>2012</v>
      </c>
      <c r="E37" s="411"/>
      <c r="F37" s="307"/>
      <c r="G37" s="320"/>
      <c r="H37" s="160"/>
      <c r="I37" s="158"/>
      <c r="J37" s="158"/>
    </row>
    <row r="38" spans="2:10" ht="15" x14ac:dyDescent="0.25">
      <c r="B38" s="160"/>
      <c r="C38" s="317" t="s">
        <v>254</v>
      </c>
      <c r="D38" s="318" t="s">
        <v>93</v>
      </c>
      <c r="E38" s="318" t="s">
        <v>255</v>
      </c>
      <c r="F38" s="310" t="s">
        <v>257</v>
      </c>
      <c r="G38" s="311">
        <v>7101</v>
      </c>
      <c r="H38" s="160"/>
      <c r="I38" s="158"/>
      <c r="J38" s="158"/>
    </row>
    <row r="39" spans="2:10" x14ac:dyDescent="0.2">
      <c r="B39" s="160"/>
      <c r="C39" s="322" t="s">
        <v>154</v>
      </c>
      <c r="D39" s="320">
        <v>645</v>
      </c>
      <c r="E39" s="316">
        <v>5191</v>
      </c>
      <c r="F39" s="310" t="s">
        <v>258</v>
      </c>
      <c r="G39" s="311">
        <v>123</v>
      </c>
      <c r="H39" s="160"/>
      <c r="I39" s="158"/>
      <c r="J39" s="158"/>
    </row>
    <row r="40" spans="2:10" x14ac:dyDescent="0.2">
      <c r="B40" s="160"/>
      <c r="C40" s="160" t="s">
        <v>155</v>
      </c>
      <c r="D40" s="311">
        <v>412</v>
      </c>
      <c r="E40" s="319">
        <v>982</v>
      </c>
      <c r="F40" s="310" t="s">
        <v>259</v>
      </c>
      <c r="G40" s="311">
        <v>6880</v>
      </c>
      <c r="H40" s="160"/>
      <c r="I40" s="158"/>
      <c r="J40" s="158"/>
    </row>
    <row r="41" spans="2:10" x14ac:dyDescent="0.2">
      <c r="B41" s="160"/>
      <c r="C41" s="160" t="s">
        <v>156</v>
      </c>
      <c r="D41" s="311">
        <v>150</v>
      </c>
      <c r="E41" s="319">
        <v>276</v>
      </c>
      <c r="F41" s="310" t="s">
        <v>260</v>
      </c>
      <c r="G41" s="311">
        <v>53</v>
      </c>
      <c r="H41" s="160"/>
      <c r="I41" s="158"/>
      <c r="J41" s="158"/>
    </row>
    <row r="42" spans="2:10" x14ac:dyDescent="0.2">
      <c r="B42" s="160"/>
      <c r="C42" s="160" t="s">
        <v>157</v>
      </c>
      <c r="D42" s="311">
        <v>22</v>
      </c>
      <c r="E42" s="319">
        <v>95</v>
      </c>
      <c r="F42" s="310" t="s">
        <v>261</v>
      </c>
      <c r="G42" s="311">
        <v>16</v>
      </c>
      <c r="H42" s="160"/>
      <c r="I42" s="158"/>
      <c r="J42" s="158"/>
    </row>
    <row r="43" spans="2:10" x14ac:dyDescent="0.2">
      <c r="B43" s="160"/>
      <c r="C43" s="160" t="s">
        <v>158</v>
      </c>
      <c r="D43" s="311">
        <v>74</v>
      </c>
      <c r="E43" s="319">
        <v>117</v>
      </c>
      <c r="F43" s="310" t="s">
        <v>262</v>
      </c>
      <c r="G43" s="311">
        <v>40</v>
      </c>
      <c r="H43" s="160"/>
      <c r="I43" s="158"/>
      <c r="J43" s="158"/>
    </row>
    <row r="44" spans="2:10" x14ac:dyDescent="0.2">
      <c r="B44" s="160"/>
      <c r="C44" s="160" t="s">
        <v>18</v>
      </c>
      <c r="D44" s="311">
        <v>242</v>
      </c>
      <c r="E44" s="319">
        <v>186</v>
      </c>
      <c r="F44" s="310" t="s">
        <v>263</v>
      </c>
      <c r="G44" s="311">
        <v>35</v>
      </c>
      <c r="H44" s="160"/>
      <c r="I44" s="158"/>
      <c r="J44" s="158"/>
    </row>
    <row r="45" spans="2:10" ht="15" x14ac:dyDescent="0.25">
      <c r="B45" s="160"/>
      <c r="C45" s="324" t="s">
        <v>24</v>
      </c>
      <c r="D45" s="313">
        <f>SUM(D39:D44)</f>
        <v>1545</v>
      </c>
      <c r="E45" s="321">
        <f>SUM(E39:E44)</f>
        <v>6847</v>
      </c>
      <c r="F45" s="312" t="s">
        <v>264</v>
      </c>
      <c r="G45" s="313">
        <f>SUM(G38:G44)</f>
        <v>14248</v>
      </c>
      <c r="H45" s="160"/>
      <c r="I45" s="158"/>
      <c r="J45" s="158"/>
    </row>
    <row r="46" spans="2:10" x14ac:dyDescent="0.2">
      <c r="B46" s="158"/>
      <c r="C46" s="158"/>
      <c r="D46" s="158"/>
      <c r="E46" s="158"/>
      <c r="F46" s="158"/>
      <c r="G46" s="158"/>
      <c r="H46" s="158"/>
      <c r="I46" s="158"/>
      <c r="J46" s="158"/>
    </row>
    <row r="47" spans="2:10" x14ac:dyDescent="0.2">
      <c r="B47" s="161" t="s">
        <v>289</v>
      </c>
      <c r="C47" s="158"/>
      <c r="D47" s="158"/>
      <c r="E47" s="158"/>
      <c r="F47" s="158"/>
      <c r="G47" s="158"/>
      <c r="H47" s="158"/>
      <c r="I47" s="158"/>
      <c r="J47" s="158"/>
    </row>
  </sheetData>
  <mergeCells count="5">
    <mergeCell ref="C7:J7"/>
    <mergeCell ref="C36:E36"/>
    <mergeCell ref="F36:G36"/>
    <mergeCell ref="D37:E37"/>
    <mergeCell ref="C35:G35"/>
  </mergeCells>
  <pageMargins left="0.7" right="0.7" top="0.75" bottom="0.75" header="0.3" footer="0.3"/>
  <pageSetup paperSize="9" scale="50" orientation="portrait" r:id="rId1"/>
  <colBreaks count="1" manualBreakCount="1">
    <brk id="11" max="51" man="1"/>
  </colBreaks>
  <drawing r:id="rId2"/>
  <legacyDrawing r:id="rId3"/>
  <oleObjects>
    <mc:AlternateContent xmlns:mc="http://schemas.openxmlformats.org/markup-compatibility/2006">
      <mc:Choice Requires="x14">
        <oleObject progId="MSPhotoEd.3" shapeId="38914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28575</xdr:colOff>
                <xdr:row>0</xdr:row>
                <xdr:rowOff>161925</xdr:rowOff>
              </to>
            </anchor>
          </objectPr>
        </oleObject>
      </mc:Choice>
      <mc:Fallback>
        <oleObject progId="MSPhotoEd.3" shapeId="38914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T68"/>
  <sheetViews>
    <sheetView workbookViewId="0">
      <selection activeCell="H54" sqref="H54"/>
    </sheetView>
  </sheetViews>
  <sheetFormatPr defaultColWidth="9.140625" defaultRowHeight="12.75" x14ac:dyDescent="0.2"/>
  <cols>
    <col min="1" max="1" width="9.140625" style="602"/>
    <col min="2" max="2" width="7.42578125" style="602" customWidth="1"/>
    <col min="3" max="3" width="19.42578125" style="602" customWidth="1"/>
    <col min="4" max="4" width="11.5703125" style="602" customWidth="1"/>
    <col min="5" max="5" width="12.85546875" style="602" customWidth="1"/>
    <col min="6" max="6" width="12.140625" style="602" customWidth="1"/>
    <col min="7" max="7" width="10.42578125" style="602" customWidth="1"/>
    <col min="8" max="8" width="12.85546875" style="602" customWidth="1"/>
    <col min="9" max="9" width="13.7109375" style="602" customWidth="1"/>
    <col min="10" max="10" width="11.28515625" style="602" customWidth="1"/>
    <col min="11" max="11" width="12.5703125" style="602" customWidth="1"/>
    <col min="12" max="12" width="12.85546875" style="602" customWidth="1"/>
    <col min="13" max="16384" width="9.140625" style="602"/>
  </cols>
  <sheetData>
    <row r="4" spans="2:12" ht="15" x14ac:dyDescent="0.25">
      <c r="I4" s="545" t="s">
        <v>340</v>
      </c>
    </row>
    <row r="5" spans="2:12" ht="9" customHeight="1" x14ac:dyDescent="0.2"/>
    <row r="7" spans="2:12" x14ac:dyDescent="0.2">
      <c r="C7" s="604"/>
    </row>
    <row r="8" spans="2:12" x14ac:dyDescent="0.2">
      <c r="C8" s="604"/>
    </row>
    <row r="9" spans="2:12" ht="15.75" x14ac:dyDescent="0.25">
      <c r="B9" s="605" t="s">
        <v>292</v>
      </c>
      <c r="C9" s="606" t="s">
        <v>352</v>
      </c>
      <c r="D9" s="606"/>
      <c r="E9" s="606"/>
      <c r="F9" s="606"/>
      <c r="G9" s="606"/>
      <c r="H9" s="606"/>
      <c r="I9" s="606"/>
      <c r="J9" s="606"/>
      <c r="K9" s="606"/>
      <c r="L9" s="606"/>
    </row>
    <row r="10" spans="2:12" ht="13.5" thickBot="1" x14ac:dyDescent="0.25">
      <c r="C10" s="607"/>
    </row>
    <row r="11" spans="2:12" ht="17.25" customHeight="1" thickBot="1" x14ac:dyDescent="0.25">
      <c r="C11" s="608"/>
      <c r="D11" s="613">
        <v>2015</v>
      </c>
      <c r="E11" s="614"/>
      <c r="F11" s="615"/>
      <c r="G11" s="613">
        <v>2016</v>
      </c>
      <c r="H11" s="614"/>
      <c r="I11" s="615"/>
      <c r="J11" s="613">
        <v>2017</v>
      </c>
      <c r="K11" s="614"/>
      <c r="L11" s="615"/>
    </row>
    <row r="12" spans="2:12" ht="18" customHeight="1" x14ac:dyDescent="0.2">
      <c r="C12" s="609" t="s">
        <v>159</v>
      </c>
      <c r="D12" s="620" t="s">
        <v>160</v>
      </c>
      <c r="E12" s="636" t="s">
        <v>161</v>
      </c>
      <c r="F12" s="634" t="s">
        <v>252</v>
      </c>
      <c r="G12" s="620" t="s">
        <v>160</v>
      </c>
      <c r="H12" s="636" t="s">
        <v>161</v>
      </c>
      <c r="I12" s="634" t="s">
        <v>252</v>
      </c>
      <c r="J12" s="620" t="s">
        <v>160</v>
      </c>
      <c r="K12" s="636" t="s">
        <v>161</v>
      </c>
      <c r="L12" s="634" t="s">
        <v>252</v>
      </c>
    </row>
    <row r="13" spans="2:12" ht="12" customHeight="1" x14ac:dyDescent="0.2">
      <c r="C13" s="610"/>
      <c r="D13" s="621"/>
      <c r="E13" s="616"/>
      <c r="F13" s="635"/>
      <c r="G13" s="621"/>
      <c r="H13" s="616"/>
      <c r="I13" s="637"/>
      <c r="J13" s="621"/>
      <c r="K13" s="616"/>
      <c r="L13" s="637"/>
    </row>
    <row r="14" spans="2:12" ht="13.5" customHeight="1" x14ac:dyDescent="0.2">
      <c r="C14" s="604" t="s">
        <v>24</v>
      </c>
      <c r="D14" s="621">
        <f>SUM(D16:D26)</f>
        <v>24703</v>
      </c>
      <c r="E14" s="617">
        <f>SUM(E15:E26)</f>
        <v>33109</v>
      </c>
      <c r="F14" s="622">
        <f>SUM(F15:F26)</f>
        <v>20280</v>
      </c>
      <c r="G14" s="621">
        <f>SUM(G16:G26)</f>
        <v>24966</v>
      </c>
      <c r="H14" s="617">
        <f>SUM(H16:H26)</f>
        <v>32566</v>
      </c>
      <c r="I14" s="622">
        <f>SUM(I16:I26)</f>
        <v>14527</v>
      </c>
      <c r="J14" s="638">
        <f>SUM(J16:J26)</f>
        <v>24305</v>
      </c>
      <c r="K14" s="629">
        <f>SUM(K16:K26)</f>
        <v>24504</v>
      </c>
      <c r="L14" s="639">
        <f>SUM(L15:L26)</f>
        <v>11227</v>
      </c>
    </row>
    <row r="15" spans="2:12" ht="12" customHeight="1" x14ac:dyDescent="0.2">
      <c r="C15" s="610"/>
      <c r="D15" s="621"/>
      <c r="E15" s="617"/>
      <c r="F15" s="625"/>
      <c r="G15" s="621"/>
      <c r="H15" s="617"/>
      <c r="I15" s="625"/>
      <c r="J15" s="640"/>
      <c r="K15" s="630"/>
      <c r="L15" s="641"/>
    </row>
    <row r="16" spans="2:12" ht="12" customHeight="1" x14ac:dyDescent="0.2">
      <c r="C16" s="608" t="s">
        <v>154</v>
      </c>
      <c r="D16" s="623">
        <v>14086</v>
      </c>
      <c r="E16" s="618">
        <v>18769</v>
      </c>
      <c r="F16" s="625">
        <v>3230</v>
      </c>
      <c r="G16" s="623">
        <v>13116</v>
      </c>
      <c r="H16" s="618">
        <v>17012</v>
      </c>
      <c r="I16" s="625">
        <v>1707</v>
      </c>
      <c r="J16" s="624">
        <v>13850</v>
      </c>
      <c r="K16" s="631">
        <v>13935</v>
      </c>
      <c r="L16" s="642">
        <v>1585</v>
      </c>
    </row>
    <row r="17" spans="3:12" ht="13.5" customHeight="1" x14ac:dyDescent="0.2">
      <c r="C17" s="608"/>
      <c r="D17" s="624"/>
      <c r="E17" s="619"/>
      <c r="F17" s="625"/>
      <c r="G17" s="624"/>
      <c r="H17" s="619"/>
      <c r="I17" s="625"/>
      <c r="J17" s="643"/>
      <c r="K17" s="632"/>
      <c r="L17" s="642"/>
    </row>
    <row r="18" spans="3:12" ht="13.5" customHeight="1" x14ac:dyDescent="0.2">
      <c r="C18" s="608" t="s">
        <v>155</v>
      </c>
      <c r="D18" s="624">
        <v>3592</v>
      </c>
      <c r="E18" s="619">
        <v>5273</v>
      </c>
      <c r="F18" s="625">
        <v>9602</v>
      </c>
      <c r="G18" s="624">
        <v>3856</v>
      </c>
      <c r="H18" s="619">
        <v>5109</v>
      </c>
      <c r="I18" s="625">
        <v>6646</v>
      </c>
      <c r="J18" s="643">
        <v>2784</v>
      </c>
      <c r="K18" s="632">
        <v>2805</v>
      </c>
      <c r="L18" s="642">
        <v>4204</v>
      </c>
    </row>
    <row r="19" spans="3:12" ht="13.5" customHeight="1" x14ac:dyDescent="0.2">
      <c r="C19" s="608"/>
      <c r="D19" s="624"/>
      <c r="E19" s="619"/>
      <c r="F19" s="625"/>
      <c r="G19" s="624"/>
      <c r="H19" s="619"/>
      <c r="I19" s="625"/>
      <c r="J19" s="643"/>
      <c r="K19" s="632"/>
      <c r="L19" s="642"/>
    </row>
    <row r="20" spans="3:12" ht="13.5" customHeight="1" x14ac:dyDescent="0.2">
      <c r="C20" s="608" t="s">
        <v>156</v>
      </c>
      <c r="D20" s="624">
        <v>946</v>
      </c>
      <c r="E20" s="619">
        <v>1182</v>
      </c>
      <c r="F20" s="625">
        <v>1337</v>
      </c>
      <c r="G20" s="624">
        <v>1353</v>
      </c>
      <c r="H20" s="619">
        <v>1714</v>
      </c>
      <c r="I20" s="625">
        <v>814</v>
      </c>
      <c r="J20" s="643">
        <v>1505</v>
      </c>
      <c r="K20" s="632">
        <v>1577</v>
      </c>
      <c r="L20" s="642">
        <v>748</v>
      </c>
    </row>
    <row r="21" spans="3:12" ht="13.5" customHeight="1" x14ac:dyDescent="0.2">
      <c r="C21" s="608"/>
      <c r="D21" s="621"/>
      <c r="E21" s="617"/>
      <c r="F21" s="625"/>
      <c r="G21" s="621"/>
      <c r="H21" s="617"/>
      <c r="I21" s="625"/>
      <c r="J21" s="640"/>
      <c r="K21" s="630"/>
      <c r="L21" s="641"/>
    </row>
    <row r="22" spans="3:12" ht="13.5" customHeight="1" x14ac:dyDescent="0.2">
      <c r="C22" s="608" t="s">
        <v>157</v>
      </c>
      <c r="D22" s="624">
        <v>1604</v>
      </c>
      <c r="E22" s="619">
        <v>2613</v>
      </c>
      <c r="F22" s="625">
        <v>3305</v>
      </c>
      <c r="G22" s="624">
        <v>3019</v>
      </c>
      <c r="H22" s="619">
        <v>4450</v>
      </c>
      <c r="I22" s="625">
        <v>2636</v>
      </c>
      <c r="J22" s="644">
        <v>3140</v>
      </c>
      <c r="K22" s="633">
        <v>3086</v>
      </c>
      <c r="L22" s="641">
        <v>1882</v>
      </c>
    </row>
    <row r="23" spans="3:12" ht="13.5" customHeight="1" x14ac:dyDescent="0.2">
      <c r="C23" s="608"/>
      <c r="D23" s="624"/>
      <c r="E23" s="619"/>
      <c r="F23" s="625"/>
      <c r="G23" s="624"/>
      <c r="H23" s="619"/>
      <c r="I23" s="625"/>
      <c r="J23" s="644"/>
      <c r="K23" s="633"/>
      <c r="L23" s="641"/>
    </row>
    <row r="24" spans="3:12" ht="13.5" customHeight="1" x14ac:dyDescent="0.2">
      <c r="C24" s="608" t="s">
        <v>158</v>
      </c>
      <c r="D24" s="624">
        <v>947</v>
      </c>
      <c r="E24" s="619">
        <v>1076</v>
      </c>
      <c r="F24" s="625">
        <v>1264</v>
      </c>
      <c r="G24" s="624">
        <v>421</v>
      </c>
      <c r="H24" s="619">
        <v>485</v>
      </c>
      <c r="I24" s="625">
        <v>1134</v>
      </c>
      <c r="J24" s="644">
        <v>458</v>
      </c>
      <c r="K24" s="633">
        <v>476</v>
      </c>
      <c r="L24" s="641">
        <v>1462</v>
      </c>
    </row>
    <row r="25" spans="3:12" ht="13.5" customHeight="1" x14ac:dyDescent="0.2">
      <c r="C25" s="608"/>
      <c r="D25" s="624"/>
      <c r="E25" s="619"/>
      <c r="F25" s="625"/>
      <c r="G25" s="624"/>
      <c r="H25" s="619"/>
      <c r="I25" s="625"/>
      <c r="J25" s="644"/>
      <c r="K25" s="633"/>
      <c r="L25" s="641"/>
    </row>
    <row r="26" spans="3:12" ht="13.5" customHeight="1" thickBot="1" x14ac:dyDescent="0.25">
      <c r="C26" s="607" t="s">
        <v>18</v>
      </c>
      <c r="D26" s="626">
        <v>3528</v>
      </c>
      <c r="E26" s="627">
        <v>4196</v>
      </c>
      <c r="F26" s="628">
        <v>1542</v>
      </c>
      <c r="G26" s="626">
        <v>3201</v>
      </c>
      <c r="H26" s="627">
        <v>3796</v>
      </c>
      <c r="I26" s="628">
        <v>1590</v>
      </c>
      <c r="J26" s="645">
        <v>2568</v>
      </c>
      <c r="K26" s="646">
        <v>2625</v>
      </c>
      <c r="L26" s="647">
        <v>1346</v>
      </c>
    </row>
    <row r="27" spans="3:12" x14ac:dyDescent="0.2">
      <c r="C27" s="611" t="s">
        <v>173</v>
      </c>
    </row>
    <row r="28" spans="3:12" ht="13.5" customHeight="1" x14ac:dyDescent="0.2">
      <c r="C28" s="602" t="s">
        <v>178</v>
      </c>
    </row>
    <row r="29" spans="3:12" ht="13.5" customHeight="1" x14ac:dyDescent="0.2">
      <c r="C29" s="603"/>
    </row>
    <row r="30" spans="3:12" ht="13.5" customHeight="1" x14ac:dyDescent="0.2">
      <c r="C30" s="603"/>
    </row>
    <row r="31" spans="3:12" ht="13.5" customHeight="1" x14ac:dyDescent="0.2">
      <c r="C31" s="280" t="s">
        <v>322</v>
      </c>
    </row>
    <row r="32" spans="3:12" ht="13.5" customHeight="1" x14ac:dyDescent="0.2">
      <c r="C32" s="603"/>
    </row>
    <row r="33" spans="2:3" ht="13.5" customHeight="1" x14ac:dyDescent="0.2"/>
    <row r="34" spans="2:3" ht="13.5" customHeight="1" x14ac:dyDescent="0.2">
      <c r="C34" s="603"/>
    </row>
    <row r="35" spans="2:3" ht="13.5" customHeight="1" x14ac:dyDescent="0.2">
      <c r="C35" s="603"/>
    </row>
    <row r="38" spans="2:3" ht="9" customHeight="1" x14ac:dyDescent="0.2">
      <c r="B38" s="612"/>
      <c r="C38" s="612"/>
    </row>
    <row r="39" spans="2:3" x14ac:dyDescent="0.2">
      <c r="B39" s="468"/>
      <c r="C39" s="468"/>
    </row>
    <row r="41" spans="2:3" x14ac:dyDescent="0.2">
      <c r="C41" s="603"/>
    </row>
    <row r="46" spans="2:3" x14ac:dyDescent="0.2">
      <c r="B46" s="29"/>
      <c r="C46" s="29"/>
    </row>
    <row r="47" spans="2:3" x14ac:dyDescent="0.2">
      <c r="B47" s="29"/>
      <c r="C47" s="29"/>
    </row>
    <row r="48" spans="2:3" x14ac:dyDescent="0.2">
      <c r="B48" s="29"/>
      <c r="C48" s="29"/>
    </row>
    <row r="49" spans="2:3" x14ac:dyDescent="0.2">
      <c r="B49" s="29"/>
      <c r="C49" s="29"/>
    </row>
    <row r="50" spans="2:3" x14ac:dyDescent="0.2">
      <c r="B50" s="29"/>
      <c r="C50" s="29"/>
    </row>
    <row r="51" spans="2:3" ht="12" customHeight="1" x14ac:dyDescent="0.2">
      <c r="B51" s="29"/>
      <c r="C51" s="29"/>
    </row>
    <row r="52" spans="2:3" x14ac:dyDescent="0.2">
      <c r="B52" s="29"/>
      <c r="C52" s="29"/>
    </row>
    <row r="53" spans="2:3" x14ac:dyDescent="0.2">
      <c r="B53" s="29"/>
      <c r="C53" s="29"/>
    </row>
    <row r="54" spans="2:3" x14ac:dyDescent="0.2">
      <c r="B54" s="29"/>
      <c r="C54" s="29"/>
    </row>
    <row r="55" spans="2:3" ht="12.75" customHeight="1" x14ac:dyDescent="0.2">
      <c r="B55" s="29"/>
      <c r="C55" s="29"/>
    </row>
    <row r="56" spans="2:3" x14ac:dyDescent="0.2">
      <c r="B56" s="29"/>
      <c r="C56" s="29"/>
    </row>
    <row r="57" spans="2:3" x14ac:dyDescent="0.2">
      <c r="B57" s="29"/>
      <c r="C57" s="29"/>
    </row>
    <row r="58" spans="2:3" x14ac:dyDescent="0.2">
      <c r="B58" s="29"/>
      <c r="C58" s="29"/>
    </row>
    <row r="59" spans="2:3" x14ac:dyDescent="0.2">
      <c r="B59" s="29"/>
      <c r="C59" s="29"/>
    </row>
    <row r="60" spans="2:3" ht="9.75" customHeight="1" x14ac:dyDescent="0.2">
      <c r="B60" s="29"/>
      <c r="C60" s="29"/>
    </row>
    <row r="61" spans="2:3" x14ac:dyDescent="0.2">
      <c r="B61" s="29"/>
      <c r="C61" s="29"/>
    </row>
    <row r="62" spans="2:3" x14ac:dyDescent="0.2">
      <c r="B62" s="29"/>
      <c r="C62" s="29"/>
    </row>
    <row r="63" spans="2:3" x14ac:dyDescent="0.2">
      <c r="B63" s="29"/>
      <c r="C63" s="29"/>
    </row>
    <row r="64" spans="2:3" ht="9" customHeight="1" x14ac:dyDescent="0.2">
      <c r="B64" s="29"/>
      <c r="C64" s="29"/>
    </row>
    <row r="65" spans="2:3" x14ac:dyDescent="0.2">
      <c r="B65" s="29"/>
      <c r="C65" s="29"/>
    </row>
    <row r="66" spans="2:3" x14ac:dyDescent="0.2">
      <c r="B66" s="29"/>
      <c r="C66" s="29"/>
    </row>
    <row r="67" spans="2:3" x14ac:dyDescent="0.2">
      <c r="B67" s="29"/>
      <c r="C67" s="29"/>
    </row>
    <row r="68" spans="2:3" x14ac:dyDescent="0.2">
      <c r="B68" s="29"/>
      <c r="C68" s="29"/>
    </row>
  </sheetData>
  <mergeCells count="4">
    <mergeCell ref="J11:L11"/>
    <mergeCell ref="D11:F11"/>
    <mergeCell ref="G11:I11"/>
    <mergeCell ref="C9:L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8369" r:id="rId3">
          <objectPr defaultSize="0" autoPict="0" r:id="rId4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342900</xdr:colOff>
                <xdr:row>4</xdr:row>
                <xdr:rowOff>0</xdr:rowOff>
              </to>
            </anchor>
          </objectPr>
        </oleObject>
      </mc:Choice>
      <mc:Fallback>
        <oleObject progId="MSPhotoEd.3" shapeId="58369" r:id="rId3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54"/>
  <sheetViews>
    <sheetView workbookViewId="0">
      <selection activeCell="J2" sqref="J2"/>
    </sheetView>
  </sheetViews>
  <sheetFormatPr defaultRowHeight="12.75" x14ac:dyDescent="0.2"/>
  <cols>
    <col min="1" max="2" width="9.140625" style="29"/>
    <col min="3" max="3" width="30" style="29" customWidth="1"/>
    <col min="4" max="5" width="14" style="29" customWidth="1"/>
    <col min="6" max="6" width="14.28515625" style="29" customWidth="1"/>
    <col min="7" max="7" width="12.7109375" style="29" customWidth="1"/>
    <col min="8" max="8" width="10.42578125" style="29" customWidth="1"/>
    <col min="9" max="9" width="13" style="29" customWidth="1"/>
    <col min="10" max="10" width="14.7109375" style="29" customWidth="1"/>
    <col min="11" max="16384" width="9.140625" style="29"/>
  </cols>
  <sheetData>
    <row r="2" spans="2:10" ht="15" x14ac:dyDescent="0.25">
      <c r="I2" s="591"/>
      <c r="J2" s="430" t="s">
        <v>340</v>
      </c>
    </row>
    <row r="7" spans="2:10" ht="23.25" x14ac:dyDescent="0.35">
      <c r="B7" s="648" t="s">
        <v>293</v>
      </c>
      <c r="C7" s="649" t="s">
        <v>337</v>
      </c>
      <c r="D7" s="649"/>
      <c r="E7" s="649"/>
      <c r="F7" s="649"/>
      <c r="G7" s="649"/>
      <c r="H7" s="649"/>
      <c r="I7" s="649"/>
      <c r="J7" s="649"/>
    </row>
    <row r="8" spans="2:10" ht="15" x14ac:dyDescent="0.25">
      <c r="B8" s="49"/>
      <c r="C8" s="650"/>
      <c r="D8" s="651"/>
      <c r="E8" s="651"/>
      <c r="F8" s="651"/>
      <c r="G8" s="651"/>
      <c r="H8" s="651"/>
      <c r="I8" s="651"/>
      <c r="J8" s="651"/>
    </row>
    <row r="9" spans="2:10" ht="15" x14ac:dyDescent="0.25">
      <c r="B9" s="49"/>
      <c r="C9" s="652" t="s">
        <v>265</v>
      </c>
      <c r="D9" s="337" t="s">
        <v>0</v>
      </c>
      <c r="E9" s="337" t="s">
        <v>0</v>
      </c>
      <c r="F9" s="337"/>
      <c r="G9" s="337"/>
      <c r="H9" s="337"/>
      <c r="I9" s="337"/>
      <c r="J9" s="342"/>
    </row>
    <row r="10" spans="2:10" ht="15" x14ac:dyDescent="0.25">
      <c r="B10" s="49"/>
      <c r="C10" s="653" t="s">
        <v>266</v>
      </c>
      <c r="D10" s="654" t="s">
        <v>154</v>
      </c>
      <c r="E10" s="654" t="s">
        <v>155</v>
      </c>
      <c r="F10" s="654" t="s">
        <v>156</v>
      </c>
      <c r="G10" s="654" t="s">
        <v>157</v>
      </c>
      <c r="H10" s="654" t="s">
        <v>158</v>
      </c>
      <c r="I10" s="654" t="s">
        <v>18</v>
      </c>
      <c r="J10" s="653" t="s">
        <v>24</v>
      </c>
    </row>
    <row r="11" spans="2:10" ht="15" x14ac:dyDescent="0.25">
      <c r="B11" s="49"/>
      <c r="C11" s="655" t="s">
        <v>323</v>
      </c>
      <c r="D11" s="656"/>
      <c r="E11" s="656"/>
      <c r="F11" s="656"/>
      <c r="G11" s="656"/>
      <c r="H11" s="656"/>
      <c r="I11" s="656">
        <v>274</v>
      </c>
      <c r="J11" s="657"/>
    </row>
    <row r="12" spans="2:10" ht="15" x14ac:dyDescent="0.25">
      <c r="B12" s="49"/>
      <c r="C12" s="658" t="s">
        <v>268</v>
      </c>
      <c r="D12" s="481">
        <v>4826</v>
      </c>
      <c r="E12" s="481">
        <v>1044</v>
      </c>
      <c r="F12" s="481">
        <v>1158</v>
      </c>
      <c r="G12" s="481">
        <v>820</v>
      </c>
      <c r="H12" s="481">
        <v>447</v>
      </c>
      <c r="I12" s="481">
        <v>622</v>
      </c>
      <c r="J12" s="659">
        <f>SUM(D12:I12)</f>
        <v>8917</v>
      </c>
    </row>
    <row r="13" spans="2:10" ht="15" x14ac:dyDescent="0.25">
      <c r="B13" s="49"/>
      <c r="C13" s="658" t="s">
        <v>269</v>
      </c>
      <c r="D13" s="481">
        <v>3016</v>
      </c>
      <c r="E13" s="481">
        <v>757</v>
      </c>
      <c r="F13" s="481">
        <v>1182</v>
      </c>
      <c r="G13" s="481">
        <v>327</v>
      </c>
      <c r="H13" s="481">
        <v>306</v>
      </c>
      <c r="I13" s="481">
        <v>296</v>
      </c>
      <c r="J13" s="659">
        <f>SUM(D13:I13)</f>
        <v>5884</v>
      </c>
    </row>
    <row r="14" spans="2:10" ht="15" x14ac:dyDescent="0.25">
      <c r="B14" s="49"/>
      <c r="C14" s="658" t="s">
        <v>270</v>
      </c>
      <c r="D14" s="481">
        <v>2658</v>
      </c>
      <c r="E14" s="481">
        <v>478</v>
      </c>
      <c r="F14" s="481">
        <v>1201</v>
      </c>
      <c r="G14" s="481">
        <v>92</v>
      </c>
      <c r="H14" s="481">
        <v>224</v>
      </c>
      <c r="I14" s="481">
        <v>234</v>
      </c>
      <c r="J14" s="659">
        <f>SUM(D14:I14)</f>
        <v>4887</v>
      </c>
    </row>
    <row r="15" spans="2:10" ht="15" x14ac:dyDescent="0.25">
      <c r="B15" s="49"/>
      <c r="C15" s="658" t="s">
        <v>271</v>
      </c>
      <c r="D15" s="481">
        <v>2326</v>
      </c>
      <c r="E15" s="481">
        <v>53</v>
      </c>
      <c r="F15" s="481">
        <v>0</v>
      </c>
      <c r="G15" s="481">
        <v>0</v>
      </c>
      <c r="H15" s="481">
        <v>0</v>
      </c>
      <c r="I15" s="481">
        <v>5</v>
      </c>
      <c r="J15" s="659">
        <f>SUM(D15:I15)</f>
        <v>2384</v>
      </c>
    </row>
    <row r="16" spans="2:10" ht="15" x14ac:dyDescent="0.25">
      <c r="B16" s="49"/>
      <c r="C16" s="658" t="s">
        <v>272</v>
      </c>
      <c r="D16" s="481">
        <v>2176</v>
      </c>
      <c r="E16" s="481">
        <v>1040</v>
      </c>
      <c r="F16" s="481">
        <v>955</v>
      </c>
      <c r="G16" s="481">
        <v>1319</v>
      </c>
      <c r="H16" s="481">
        <v>330</v>
      </c>
      <c r="I16" s="350">
        <v>332</v>
      </c>
      <c r="J16" s="659">
        <f>SUM(D16:I16)</f>
        <v>6152</v>
      </c>
    </row>
    <row r="17" spans="2:10" ht="15" x14ac:dyDescent="0.25">
      <c r="B17" s="49"/>
      <c r="C17" s="658" t="s">
        <v>273</v>
      </c>
      <c r="D17" s="481">
        <v>3637</v>
      </c>
      <c r="E17" s="481">
        <v>4427</v>
      </c>
      <c r="F17" s="481">
        <v>953</v>
      </c>
      <c r="G17" s="481">
        <v>116</v>
      </c>
      <c r="H17" s="481">
        <v>818</v>
      </c>
      <c r="I17" s="481">
        <v>382</v>
      </c>
      <c r="J17" s="659">
        <f>SUM(D17:I17)</f>
        <v>10333</v>
      </c>
    </row>
    <row r="18" spans="2:10" ht="15" x14ac:dyDescent="0.25">
      <c r="B18" s="49"/>
      <c r="C18" s="658" t="s">
        <v>274</v>
      </c>
      <c r="D18" s="481">
        <v>1981</v>
      </c>
      <c r="E18" s="481">
        <v>1212</v>
      </c>
      <c r="F18" s="481">
        <v>942</v>
      </c>
      <c r="G18" s="481">
        <v>145</v>
      </c>
      <c r="H18" s="481">
        <v>451</v>
      </c>
      <c r="I18" s="481">
        <v>452</v>
      </c>
      <c r="J18" s="659">
        <f>SUM(D18:I18)</f>
        <v>5183</v>
      </c>
    </row>
    <row r="19" spans="2:10" ht="15" x14ac:dyDescent="0.25">
      <c r="B19" s="49"/>
      <c r="C19" s="658" t="s">
        <v>275</v>
      </c>
      <c r="D19" s="481">
        <v>1709</v>
      </c>
      <c r="E19" s="481">
        <v>405</v>
      </c>
      <c r="F19" s="481">
        <v>933</v>
      </c>
      <c r="G19" s="481">
        <v>35</v>
      </c>
      <c r="H19" s="481">
        <v>178</v>
      </c>
      <c r="I19" s="481">
        <v>420</v>
      </c>
      <c r="J19" s="659">
        <f>SUM(D19:I19)</f>
        <v>3680</v>
      </c>
    </row>
    <row r="20" spans="2:10" ht="15" x14ac:dyDescent="0.25">
      <c r="B20" s="49"/>
      <c r="C20" s="658" t="s">
        <v>324</v>
      </c>
      <c r="D20" s="481"/>
      <c r="E20" s="481"/>
      <c r="F20" s="481"/>
      <c r="G20" s="481"/>
      <c r="H20" s="481"/>
      <c r="I20" s="481"/>
      <c r="J20" s="659">
        <f>SUM(D20:I20)</f>
        <v>0</v>
      </c>
    </row>
    <row r="21" spans="2:10" ht="15" x14ac:dyDescent="0.25">
      <c r="B21" s="49"/>
      <c r="C21" s="660" t="s">
        <v>276</v>
      </c>
      <c r="D21" s="350"/>
      <c r="E21" s="350"/>
      <c r="F21" s="350"/>
      <c r="G21" s="350"/>
      <c r="H21" s="350"/>
      <c r="I21" s="350"/>
      <c r="J21" s="659">
        <f>SUM(D21:I21)</f>
        <v>0</v>
      </c>
    </row>
    <row r="22" spans="2:10" ht="15" x14ac:dyDescent="0.25">
      <c r="B22" s="49"/>
      <c r="C22" s="658" t="s">
        <v>268</v>
      </c>
      <c r="D22" s="481">
        <v>2958</v>
      </c>
      <c r="E22" s="481">
        <v>244</v>
      </c>
      <c r="F22" s="481">
        <v>413</v>
      </c>
      <c r="G22" s="481">
        <v>14</v>
      </c>
      <c r="H22" s="481">
        <v>83</v>
      </c>
      <c r="I22" s="481">
        <v>110</v>
      </c>
      <c r="J22" s="659">
        <f>SUM(D22:I22)</f>
        <v>3822</v>
      </c>
    </row>
    <row r="23" spans="2:10" ht="15" x14ac:dyDescent="0.25">
      <c r="B23" s="49"/>
      <c r="C23" s="658" t="s">
        <v>269</v>
      </c>
      <c r="D23" s="481">
        <v>1011</v>
      </c>
      <c r="E23" s="481">
        <v>265</v>
      </c>
      <c r="F23" s="481">
        <v>522</v>
      </c>
      <c r="G23" s="481">
        <v>25</v>
      </c>
      <c r="H23" s="481">
        <v>94</v>
      </c>
      <c r="I23" s="350">
        <v>178</v>
      </c>
      <c r="J23" s="659">
        <f>SUM(D23:I23)</f>
        <v>2095</v>
      </c>
    </row>
    <row r="24" spans="2:10" ht="15" x14ac:dyDescent="0.25">
      <c r="B24" s="49"/>
      <c r="C24" s="658" t="s">
        <v>270</v>
      </c>
      <c r="D24" s="481">
        <v>498</v>
      </c>
      <c r="E24" s="481">
        <v>136</v>
      </c>
      <c r="F24" s="481">
        <v>476</v>
      </c>
      <c r="G24" s="481">
        <v>9</v>
      </c>
      <c r="H24" s="481">
        <v>78</v>
      </c>
      <c r="I24" s="481">
        <v>178</v>
      </c>
      <c r="J24" s="659">
        <f>SUM(D24:I24)</f>
        <v>1375</v>
      </c>
    </row>
    <row r="25" spans="2:10" ht="15" x14ac:dyDescent="0.25">
      <c r="B25" s="49"/>
      <c r="C25" s="658" t="s">
        <v>271</v>
      </c>
      <c r="D25" s="481">
        <v>271</v>
      </c>
      <c r="E25" s="481">
        <v>58</v>
      </c>
      <c r="F25" s="481">
        <v>489</v>
      </c>
      <c r="G25" s="481">
        <v>6</v>
      </c>
      <c r="H25" s="481">
        <v>54</v>
      </c>
      <c r="I25" s="481">
        <v>108</v>
      </c>
      <c r="J25" s="659">
        <f>SUM(D25:I25)</f>
        <v>986</v>
      </c>
    </row>
    <row r="26" spans="2:10" ht="15" x14ac:dyDescent="0.25">
      <c r="B26" s="49"/>
      <c r="C26" s="658" t="s">
        <v>331</v>
      </c>
      <c r="D26" s="481">
        <v>900</v>
      </c>
      <c r="E26" s="481"/>
      <c r="F26" s="481"/>
      <c r="G26" s="481"/>
      <c r="H26" s="481"/>
      <c r="I26" s="481">
        <v>18</v>
      </c>
      <c r="J26" s="659">
        <f>SUM(D26:I26)</f>
        <v>918</v>
      </c>
    </row>
    <row r="27" spans="2:10" ht="15" x14ac:dyDescent="0.25">
      <c r="B27" s="49"/>
      <c r="C27" s="342"/>
      <c r="D27" s="661"/>
      <c r="E27" s="661"/>
      <c r="F27" s="661"/>
      <c r="G27" s="661"/>
      <c r="H27" s="661"/>
      <c r="I27" s="661"/>
      <c r="J27" s="659">
        <f>SUM(D27:I27)</f>
        <v>0</v>
      </c>
    </row>
    <row r="28" spans="2:10" ht="15" x14ac:dyDescent="0.25">
      <c r="B28" s="49"/>
      <c r="C28" s="662" t="s">
        <v>279</v>
      </c>
      <c r="D28" s="663">
        <f>SUM(D11:D27)</f>
        <v>27967</v>
      </c>
      <c r="E28" s="663">
        <f>SUM(E12:E27)</f>
        <v>10119</v>
      </c>
      <c r="F28" s="663">
        <f>SUM(F12:F27)</f>
        <v>9224</v>
      </c>
      <c r="G28" s="663">
        <f>SUM(G12:G27)</f>
        <v>2908</v>
      </c>
      <c r="H28" s="663">
        <f>SUM(H12:H27)</f>
        <v>3063</v>
      </c>
      <c r="I28" s="663">
        <f>SUM(I11:I27)</f>
        <v>3609</v>
      </c>
      <c r="J28" s="659">
        <f>SUM(D28:I28)</f>
        <v>56890</v>
      </c>
    </row>
    <row r="29" spans="2:10" ht="18.75" customHeight="1" x14ac:dyDescent="0.2"/>
    <row r="30" spans="2:10" x14ac:dyDescent="0.2">
      <c r="B30" s="280" t="s">
        <v>289</v>
      </c>
    </row>
    <row r="44" spans="2:8" ht="15" x14ac:dyDescent="0.25">
      <c r="B44" s="49"/>
      <c r="C44" s="664"/>
      <c r="D44" s="664"/>
      <c r="E44" s="664"/>
      <c r="F44" s="664"/>
      <c r="G44" s="664"/>
      <c r="H44" s="49"/>
    </row>
    <row r="45" spans="2:8" ht="15" x14ac:dyDescent="0.25">
      <c r="B45" s="49"/>
      <c r="C45" s="665"/>
      <c r="D45" s="666"/>
      <c r="E45" s="667"/>
      <c r="F45" s="668"/>
      <c r="G45" s="669"/>
      <c r="H45" s="49"/>
    </row>
    <row r="46" spans="2:8" ht="15" x14ac:dyDescent="0.25">
      <c r="B46" s="49"/>
      <c r="C46" s="670"/>
      <c r="D46" s="671"/>
      <c r="E46" s="671"/>
      <c r="F46" s="668"/>
      <c r="G46" s="669"/>
      <c r="H46" s="49"/>
    </row>
    <row r="47" spans="2:8" x14ac:dyDescent="0.2">
      <c r="B47" s="49"/>
      <c r="C47" s="668"/>
      <c r="D47" s="669"/>
      <c r="E47" s="669"/>
      <c r="F47" s="668"/>
      <c r="G47" s="669"/>
      <c r="H47" s="49"/>
    </row>
    <row r="48" spans="2:8" x14ac:dyDescent="0.2">
      <c r="B48" s="49"/>
      <c r="C48" s="668"/>
      <c r="D48" s="669"/>
      <c r="E48" s="669"/>
      <c r="F48" s="668"/>
      <c r="G48" s="669"/>
      <c r="H48" s="49"/>
    </row>
    <row r="49" spans="2:8" x14ac:dyDescent="0.2">
      <c r="B49" s="49"/>
      <c r="C49" s="668"/>
      <c r="D49" s="669"/>
      <c r="E49" s="669"/>
      <c r="F49" s="668"/>
      <c r="G49" s="669"/>
      <c r="H49" s="49"/>
    </row>
    <row r="50" spans="2:8" x14ac:dyDescent="0.2">
      <c r="B50" s="49"/>
      <c r="C50" s="668"/>
      <c r="D50" s="669"/>
      <c r="E50" s="669"/>
      <c r="F50" s="668"/>
      <c r="G50" s="669"/>
      <c r="H50" s="49"/>
    </row>
    <row r="51" spans="2:8" x14ac:dyDescent="0.2">
      <c r="B51" s="49"/>
      <c r="C51" s="668"/>
      <c r="D51" s="669"/>
      <c r="E51" s="669"/>
      <c r="F51" s="668"/>
      <c r="G51" s="669"/>
      <c r="H51" s="49"/>
    </row>
    <row r="52" spans="2:8" x14ac:dyDescent="0.2">
      <c r="B52" s="49"/>
      <c r="C52" s="668"/>
      <c r="D52" s="669"/>
      <c r="E52" s="669"/>
      <c r="F52" s="668"/>
      <c r="G52" s="669"/>
      <c r="H52" s="49"/>
    </row>
    <row r="53" spans="2:8" ht="15" x14ac:dyDescent="0.25">
      <c r="B53" s="49"/>
      <c r="C53" s="665"/>
      <c r="D53" s="671"/>
      <c r="E53" s="671"/>
      <c r="F53" s="665"/>
      <c r="G53" s="671"/>
      <c r="H53" s="49"/>
    </row>
    <row r="54" spans="2:8" x14ac:dyDescent="0.2">
      <c r="C54" s="49"/>
      <c r="D54" s="49"/>
      <c r="E54" s="49"/>
      <c r="F54" s="49"/>
      <c r="G54" s="49"/>
    </row>
  </sheetData>
  <mergeCells count="4">
    <mergeCell ref="C44:E44"/>
    <mergeCell ref="F44:G44"/>
    <mergeCell ref="D45:E45"/>
    <mergeCell ref="C7:J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9393" r:id="rId3">
          <objectPr defaultSize="0" autoPict="0" r:id="rId4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323850</xdr:colOff>
                <xdr:row>3</xdr:row>
                <xdr:rowOff>152400</xdr:rowOff>
              </to>
            </anchor>
          </objectPr>
        </oleObject>
      </mc:Choice>
      <mc:Fallback>
        <oleObject progId="MSPhotoEd.3" shapeId="59393" r:id="rId3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8"/>
  <sheetViews>
    <sheetView workbookViewId="0">
      <selection activeCell="D2" sqref="D2"/>
    </sheetView>
  </sheetViews>
  <sheetFormatPr defaultRowHeight="12.75" x14ac:dyDescent="0.2"/>
  <cols>
    <col min="1" max="2" width="9.140625" style="29"/>
    <col min="3" max="3" width="21.28515625" style="29" customWidth="1"/>
    <col min="4" max="5" width="9.140625" style="29"/>
    <col min="6" max="6" width="36.140625" style="29" customWidth="1"/>
    <col min="7" max="16384" width="9.140625" style="29"/>
  </cols>
  <sheetData>
    <row r="2" spans="2:8" ht="15" x14ac:dyDescent="0.25">
      <c r="G2" s="430" t="s">
        <v>340</v>
      </c>
    </row>
    <row r="5" spans="2:8" ht="23.25" x14ac:dyDescent="0.35">
      <c r="C5" s="672" t="s">
        <v>338</v>
      </c>
      <c r="D5" s="672"/>
      <c r="E5" s="672"/>
      <c r="F5" s="672"/>
      <c r="G5" s="672"/>
    </row>
    <row r="6" spans="2:8" ht="15.75" x14ac:dyDescent="0.25">
      <c r="B6" s="648" t="s">
        <v>294</v>
      </c>
      <c r="C6" s="673" t="s">
        <v>253</v>
      </c>
      <c r="D6" s="674"/>
      <c r="E6" s="675"/>
      <c r="F6" s="673" t="s">
        <v>256</v>
      </c>
      <c r="G6" s="675"/>
    </row>
    <row r="7" spans="2:8" ht="15" x14ac:dyDescent="0.25">
      <c r="C7" s="676"/>
      <c r="D7" s="677">
        <v>2017</v>
      </c>
      <c r="E7" s="677"/>
      <c r="F7" s="678"/>
      <c r="G7" s="679"/>
    </row>
    <row r="8" spans="2:8" ht="26.25" x14ac:dyDescent="0.25">
      <c r="C8" s="680" t="s">
        <v>254</v>
      </c>
      <c r="D8" s="681" t="s">
        <v>93</v>
      </c>
      <c r="E8" s="681" t="s">
        <v>255</v>
      </c>
      <c r="F8" s="678" t="s">
        <v>257</v>
      </c>
      <c r="G8" s="679">
        <v>10028</v>
      </c>
    </row>
    <row r="9" spans="2:8" ht="25.5" x14ac:dyDescent="0.2">
      <c r="C9" s="658" t="s">
        <v>154</v>
      </c>
      <c r="D9" s="682">
        <v>8425</v>
      </c>
      <c r="E9" s="682">
        <v>6637</v>
      </c>
      <c r="F9" s="683" t="s">
        <v>258</v>
      </c>
      <c r="G9" s="682">
        <v>0</v>
      </c>
    </row>
    <row r="10" spans="2:8" ht="25.5" x14ac:dyDescent="0.2">
      <c r="C10" s="658" t="s">
        <v>155</v>
      </c>
      <c r="D10" s="684">
        <v>831</v>
      </c>
      <c r="E10" s="682">
        <v>1505</v>
      </c>
      <c r="F10" s="683" t="s">
        <v>259</v>
      </c>
      <c r="G10" s="682">
        <v>9493</v>
      </c>
    </row>
    <row r="11" spans="2:8" ht="25.5" x14ac:dyDescent="0.2">
      <c r="C11" s="658" t="s">
        <v>156</v>
      </c>
      <c r="D11" s="684">
        <v>300</v>
      </c>
      <c r="E11" s="682">
        <v>585</v>
      </c>
      <c r="F11" s="683" t="s">
        <v>260</v>
      </c>
      <c r="G11" s="682">
        <v>0</v>
      </c>
    </row>
    <row r="12" spans="2:8" ht="25.5" x14ac:dyDescent="0.2">
      <c r="C12" s="658" t="s">
        <v>157</v>
      </c>
      <c r="D12" s="684">
        <v>61</v>
      </c>
      <c r="E12" s="682">
        <v>224</v>
      </c>
      <c r="F12" s="683" t="s">
        <v>261</v>
      </c>
      <c r="G12" s="682">
        <v>22</v>
      </c>
      <c r="H12" s="280"/>
    </row>
    <row r="13" spans="2:8" ht="25.5" x14ac:dyDescent="0.2">
      <c r="C13" s="658" t="s">
        <v>158</v>
      </c>
      <c r="D13" s="684">
        <v>129</v>
      </c>
      <c r="E13" s="682">
        <v>211</v>
      </c>
      <c r="F13" s="683" t="s">
        <v>262</v>
      </c>
      <c r="G13" s="682">
        <v>16</v>
      </c>
    </row>
    <row r="14" spans="2:8" ht="25.5" x14ac:dyDescent="0.2">
      <c r="C14" s="658" t="s">
        <v>18</v>
      </c>
      <c r="D14" s="684">
        <v>320</v>
      </c>
      <c r="E14" s="682">
        <v>331</v>
      </c>
      <c r="F14" s="683" t="s">
        <v>263</v>
      </c>
      <c r="G14" s="682">
        <v>0</v>
      </c>
    </row>
    <row r="15" spans="2:8" ht="15" x14ac:dyDescent="0.25">
      <c r="C15" s="685" t="s">
        <v>24</v>
      </c>
      <c r="D15" s="686">
        <f>SUM(D9:D14)</f>
        <v>10066</v>
      </c>
      <c r="E15" s="686">
        <f>SUM(E9:E14)</f>
        <v>9493</v>
      </c>
      <c r="F15" s="685" t="s">
        <v>264</v>
      </c>
      <c r="G15" s="687">
        <f>SUM(D15:F15)</f>
        <v>19559</v>
      </c>
      <c r="H15" s="49"/>
    </row>
    <row r="17" spans="2:10" x14ac:dyDescent="0.2">
      <c r="B17" s="49"/>
      <c r="C17" s="280" t="s">
        <v>339</v>
      </c>
    </row>
    <row r="18" spans="2:10" ht="23.25" x14ac:dyDescent="0.35">
      <c r="C18" s="688"/>
      <c r="D18" s="689"/>
      <c r="E18" s="689"/>
      <c r="F18" s="689"/>
      <c r="G18" s="689"/>
      <c r="H18" s="690"/>
      <c r="I18" s="690"/>
      <c r="J18" s="690"/>
    </row>
  </sheetData>
  <mergeCells count="5">
    <mergeCell ref="C5:G5"/>
    <mergeCell ref="C6:E6"/>
    <mergeCell ref="F6:G6"/>
    <mergeCell ref="D7:E7"/>
    <mergeCell ref="C18:G1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61441" r:id="rId3">
          <objectPr defaultSize="0" autoPict="0" r:id="rId4">
            <anchor moveWithCells="1" sizeWithCells="1">
              <from>
                <xdr:col>0</xdr:col>
                <xdr:colOff>28575</xdr:colOff>
                <xdr:row>0</xdr:row>
                <xdr:rowOff>19050</xdr:rowOff>
              </from>
              <to>
                <xdr:col>1</xdr:col>
                <xdr:colOff>333375</xdr:colOff>
                <xdr:row>4</xdr:row>
                <xdr:rowOff>9525</xdr:rowOff>
              </to>
            </anchor>
          </objectPr>
        </oleObject>
      </mc:Choice>
      <mc:Fallback>
        <oleObject progId="MSPhotoEd.3" shapeId="6144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1:Q43"/>
  <sheetViews>
    <sheetView zoomScaleNormal="100" zoomScaleSheetLayoutView="100" workbookViewId="0">
      <selection activeCell="D2" sqref="D2"/>
    </sheetView>
  </sheetViews>
  <sheetFormatPr defaultColWidth="9.140625" defaultRowHeight="14.25" x14ac:dyDescent="0.2"/>
  <cols>
    <col min="1" max="1" width="9.140625" style="282"/>
    <col min="2" max="2" width="6.85546875" style="282" customWidth="1"/>
    <col min="3" max="3" width="13.140625" style="282" customWidth="1"/>
    <col min="4" max="7" width="11.42578125" style="282" customWidth="1"/>
    <col min="8" max="16384" width="9.140625" style="282"/>
  </cols>
  <sheetData>
    <row r="1" spans="2:17" s="281" customFormat="1" ht="12.75" x14ac:dyDescent="0.2"/>
    <row r="2" spans="2:17" s="281" customFormat="1" ht="12.75" x14ac:dyDescent="0.2"/>
    <row r="3" spans="2:17" s="281" customFormat="1" ht="15" x14ac:dyDescent="0.25">
      <c r="D3" s="413"/>
      <c r="E3" s="413"/>
      <c r="F3" s="413"/>
      <c r="G3" s="330" t="s">
        <v>340</v>
      </c>
      <c r="H3" s="413"/>
      <c r="I3" s="413"/>
      <c r="J3" s="413"/>
      <c r="K3" s="413"/>
    </row>
    <row r="4" spans="2:17" s="281" customFormat="1" ht="9" customHeight="1" x14ac:dyDescent="0.2"/>
    <row r="5" spans="2:17" s="280" customFormat="1" ht="12.75" x14ac:dyDescent="0.2">
      <c r="Q5" s="154"/>
    </row>
    <row r="6" spans="2:17" s="280" customFormat="1" ht="15.75" x14ac:dyDescent="0.25">
      <c r="B6" s="389" t="s">
        <v>344</v>
      </c>
      <c r="C6" s="389"/>
      <c r="D6" s="389"/>
      <c r="E6" s="389"/>
      <c r="F6" s="389"/>
      <c r="G6" s="389"/>
      <c r="H6" s="335"/>
      <c r="I6" s="335"/>
      <c r="J6" s="335"/>
      <c r="K6" s="335"/>
      <c r="L6" s="368"/>
      <c r="M6" s="368"/>
      <c r="N6" s="368"/>
      <c r="Q6" s="154"/>
    </row>
    <row r="7" spans="2:17" ht="24.75" customHeight="1" x14ac:dyDescent="0.2">
      <c r="B7" s="414" t="s">
        <v>239</v>
      </c>
      <c r="C7" s="425" t="s">
        <v>332</v>
      </c>
      <c r="D7" s="425"/>
      <c r="E7" s="425"/>
      <c r="F7" s="425"/>
      <c r="G7" s="425"/>
    </row>
    <row r="8" spans="2:17" x14ac:dyDescent="0.2">
      <c r="D8" s="426" t="s">
        <v>91</v>
      </c>
      <c r="E8" s="426"/>
      <c r="F8" s="426"/>
      <c r="G8" s="426"/>
    </row>
    <row r="9" spans="2:17" ht="38.25" x14ac:dyDescent="0.2">
      <c r="C9" s="428" t="s">
        <v>227</v>
      </c>
      <c r="D9" s="418" t="s">
        <v>237</v>
      </c>
      <c r="E9" s="418" t="s">
        <v>236</v>
      </c>
      <c r="F9" s="418" t="s">
        <v>235</v>
      </c>
      <c r="G9" s="419" t="s">
        <v>238</v>
      </c>
    </row>
    <row r="10" spans="2:17" x14ac:dyDescent="0.2">
      <c r="C10" s="420" t="s">
        <v>234</v>
      </c>
      <c r="D10" s="421">
        <f>SUM(D20,D30)</f>
        <v>70</v>
      </c>
      <c r="E10" s="421">
        <f t="shared" ref="E10:F10" si="0">SUM(E20,E30)</f>
        <v>0</v>
      </c>
      <c r="F10" s="421">
        <f t="shared" si="0"/>
        <v>0</v>
      </c>
      <c r="G10" s="422">
        <f t="shared" ref="G10:G16" si="1">SUM(D10:F10)</f>
        <v>70</v>
      </c>
    </row>
    <row r="11" spans="2:17" x14ac:dyDescent="0.2">
      <c r="C11" s="420" t="s">
        <v>233</v>
      </c>
      <c r="D11" s="421">
        <f>SUM(D31,D21)</f>
        <v>160</v>
      </c>
      <c r="E11" s="421">
        <f t="shared" ref="E11:F11" si="2">SUM(E31,E21)</f>
        <v>4</v>
      </c>
      <c r="F11" s="421">
        <f t="shared" si="2"/>
        <v>0</v>
      </c>
      <c r="G11" s="422">
        <f t="shared" si="1"/>
        <v>164</v>
      </c>
    </row>
    <row r="12" spans="2:17" x14ac:dyDescent="0.2">
      <c r="C12" s="420" t="s">
        <v>232</v>
      </c>
      <c r="D12" s="421">
        <f t="shared" ref="D12:F12" si="3">SUM(D22,D32)</f>
        <v>376</v>
      </c>
      <c r="E12" s="421">
        <f t="shared" si="3"/>
        <v>40</v>
      </c>
      <c r="F12" s="421">
        <f t="shared" si="3"/>
        <v>0</v>
      </c>
      <c r="G12" s="422">
        <f t="shared" si="1"/>
        <v>416</v>
      </c>
    </row>
    <row r="13" spans="2:17" x14ac:dyDescent="0.2">
      <c r="C13" s="420" t="s">
        <v>228</v>
      </c>
      <c r="D13" s="421">
        <f t="shared" ref="D13:F13" si="4">SUM(D33,D23)</f>
        <v>471</v>
      </c>
      <c r="E13" s="421">
        <f t="shared" si="4"/>
        <v>102</v>
      </c>
      <c r="F13" s="421">
        <f t="shared" si="4"/>
        <v>0</v>
      </c>
      <c r="G13" s="422">
        <f t="shared" si="1"/>
        <v>573</v>
      </c>
    </row>
    <row r="14" spans="2:17" x14ac:dyDescent="0.2">
      <c r="C14" s="420" t="s">
        <v>229</v>
      </c>
      <c r="D14" s="421">
        <f t="shared" ref="D14:F14" si="5">SUM(D24,D34)</f>
        <v>332</v>
      </c>
      <c r="E14" s="421">
        <f t="shared" si="5"/>
        <v>248</v>
      </c>
      <c r="F14" s="421">
        <f t="shared" si="5"/>
        <v>237</v>
      </c>
      <c r="G14" s="422">
        <f t="shared" si="1"/>
        <v>817</v>
      </c>
    </row>
    <row r="15" spans="2:17" x14ac:dyDescent="0.2">
      <c r="C15" s="420" t="s">
        <v>231</v>
      </c>
      <c r="D15" s="421">
        <f t="shared" ref="D15:F15" si="6">SUM(D35,D25)</f>
        <v>0</v>
      </c>
      <c r="E15" s="421">
        <f t="shared" si="6"/>
        <v>28</v>
      </c>
      <c r="F15" s="421">
        <f t="shared" si="6"/>
        <v>38</v>
      </c>
      <c r="G15" s="422">
        <f t="shared" si="1"/>
        <v>66</v>
      </c>
    </row>
    <row r="16" spans="2:17" x14ac:dyDescent="0.2">
      <c r="C16" s="423" t="s">
        <v>24</v>
      </c>
      <c r="D16" s="421">
        <f>SUM(D10:D15)</f>
        <v>1409</v>
      </c>
      <c r="E16" s="421">
        <f>SUM(E10:E15)</f>
        <v>422</v>
      </c>
      <c r="F16" s="421">
        <f>SUM(F10:F15)</f>
        <v>275</v>
      </c>
      <c r="G16" s="422">
        <f t="shared" si="1"/>
        <v>2106</v>
      </c>
    </row>
    <row r="17" spans="3:7" x14ac:dyDescent="0.2">
      <c r="C17" s="381"/>
      <c r="D17" s="381"/>
      <c r="E17" s="381"/>
      <c r="F17" s="381"/>
      <c r="G17" s="381"/>
    </row>
    <row r="18" spans="3:7" x14ac:dyDescent="0.2">
      <c r="C18" s="415" t="s">
        <v>227</v>
      </c>
      <c r="D18" s="416" t="s">
        <v>26</v>
      </c>
      <c r="E18" s="416"/>
      <c r="F18" s="416"/>
      <c r="G18" s="416"/>
    </row>
    <row r="19" spans="3:7" ht="38.25" x14ac:dyDescent="0.2">
      <c r="C19" s="417"/>
      <c r="D19" s="418" t="s">
        <v>237</v>
      </c>
      <c r="E19" s="418" t="s">
        <v>236</v>
      </c>
      <c r="F19" s="418" t="s">
        <v>235</v>
      </c>
      <c r="G19" s="419" t="s">
        <v>238</v>
      </c>
    </row>
    <row r="20" spans="3:7" x14ac:dyDescent="0.2">
      <c r="C20" s="420" t="s">
        <v>234</v>
      </c>
      <c r="D20" s="421">
        <v>34</v>
      </c>
      <c r="E20" s="421"/>
      <c r="F20" s="424"/>
      <c r="G20" s="422">
        <f t="shared" ref="G20:G26" si="7">SUM(D20:F20)</f>
        <v>34</v>
      </c>
    </row>
    <row r="21" spans="3:7" x14ac:dyDescent="0.2">
      <c r="C21" s="420" t="s">
        <v>233</v>
      </c>
      <c r="D21" s="421">
        <v>82</v>
      </c>
      <c r="E21" s="421">
        <v>2</v>
      </c>
      <c r="F21" s="424"/>
      <c r="G21" s="422">
        <f t="shared" si="7"/>
        <v>84</v>
      </c>
    </row>
    <row r="22" spans="3:7" x14ac:dyDescent="0.2">
      <c r="C22" s="420" t="s">
        <v>232</v>
      </c>
      <c r="D22" s="421">
        <v>190</v>
      </c>
      <c r="E22" s="421">
        <v>24</v>
      </c>
      <c r="F22" s="424"/>
      <c r="G22" s="422">
        <f t="shared" si="7"/>
        <v>214</v>
      </c>
    </row>
    <row r="23" spans="3:7" x14ac:dyDescent="0.2">
      <c r="C23" s="420" t="s">
        <v>228</v>
      </c>
      <c r="D23" s="421">
        <v>234</v>
      </c>
      <c r="E23" s="421">
        <v>54</v>
      </c>
      <c r="F23" s="421"/>
      <c r="G23" s="422">
        <f t="shared" si="7"/>
        <v>288</v>
      </c>
    </row>
    <row r="24" spans="3:7" x14ac:dyDescent="0.2">
      <c r="C24" s="420" t="s">
        <v>229</v>
      </c>
      <c r="D24" s="421">
        <v>168</v>
      </c>
      <c r="E24" s="421">
        <v>116</v>
      </c>
      <c r="F24" s="421">
        <v>121</v>
      </c>
      <c r="G24" s="422">
        <f t="shared" si="7"/>
        <v>405</v>
      </c>
    </row>
    <row r="25" spans="3:7" x14ac:dyDescent="0.2">
      <c r="C25" s="420" t="s">
        <v>231</v>
      </c>
      <c r="D25" s="421"/>
      <c r="E25" s="421">
        <v>7</v>
      </c>
      <c r="F25" s="421">
        <v>21</v>
      </c>
      <c r="G25" s="422">
        <f t="shared" si="7"/>
        <v>28</v>
      </c>
    </row>
    <row r="26" spans="3:7" x14ac:dyDescent="0.2">
      <c r="C26" s="423" t="s">
        <v>24</v>
      </c>
      <c r="D26" s="422">
        <f>SUM(D20:D25)</f>
        <v>708</v>
      </c>
      <c r="E26" s="422">
        <f>SUM(E20:E25)</f>
        <v>203</v>
      </c>
      <c r="F26" s="422">
        <f>SUM(F20:F25)</f>
        <v>142</v>
      </c>
      <c r="G26" s="422">
        <f t="shared" si="7"/>
        <v>1053</v>
      </c>
    </row>
    <row r="27" spans="3:7" x14ac:dyDescent="0.2">
      <c r="C27" s="376"/>
      <c r="D27" s="376"/>
      <c r="E27" s="376"/>
      <c r="F27" s="376"/>
      <c r="G27" s="376"/>
    </row>
    <row r="28" spans="3:7" x14ac:dyDescent="0.2">
      <c r="C28" s="415" t="s">
        <v>227</v>
      </c>
      <c r="D28" s="416" t="s">
        <v>25</v>
      </c>
      <c r="E28" s="416"/>
      <c r="F28" s="416"/>
      <c r="G28" s="416"/>
    </row>
    <row r="29" spans="3:7" ht="38.25" x14ac:dyDescent="0.2">
      <c r="C29" s="417"/>
      <c r="D29" s="418" t="s">
        <v>237</v>
      </c>
      <c r="E29" s="418" t="s">
        <v>236</v>
      </c>
      <c r="F29" s="418" t="s">
        <v>235</v>
      </c>
      <c r="G29" s="419" t="s">
        <v>238</v>
      </c>
    </row>
    <row r="30" spans="3:7" x14ac:dyDescent="0.2">
      <c r="C30" s="420" t="s">
        <v>234</v>
      </c>
      <c r="D30" s="421">
        <v>36</v>
      </c>
      <c r="E30" s="421"/>
      <c r="F30" s="424"/>
      <c r="G30" s="422">
        <f t="shared" ref="G30:G36" si="8">SUM(D30:F30)</f>
        <v>36</v>
      </c>
    </row>
    <row r="31" spans="3:7" x14ac:dyDescent="0.2">
      <c r="C31" s="420" t="s">
        <v>233</v>
      </c>
      <c r="D31" s="421">
        <v>78</v>
      </c>
      <c r="E31" s="421">
        <v>2</v>
      </c>
      <c r="F31" s="424"/>
      <c r="G31" s="422">
        <f t="shared" si="8"/>
        <v>80</v>
      </c>
    </row>
    <row r="32" spans="3:7" x14ac:dyDescent="0.2">
      <c r="C32" s="420" t="s">
        <v>232</v>
      </c>
      <c r="D32" s="421">
        <v>186</v>
      </c>
      <c r="E32" s="421">
        <v>16</v>
      </c>
      <c r="F32" s="424"/>
      <c r="G32" s="422">
        <f t="shared" si="8"/>
        <v>202</v>
      </c>
    </row>
    <row r="33" spans="2:7" x14ac:dyDescent="0.2">
      <c r="C33" s="420" t="s">
        <v>228</v>
      </c>
      <c r="D33" s="421">
        <v>237</v>
      </c>
      <c r="E33" s="421">
        <v>48</v>
      </c>
      <c r="F33" s="421"/>
      <c r="G33" s="422">
        <f t="shared" si="8"/>
        <v>285</v>
      </c>
    </row>
    <row r="34" spans="2:7" x14ac:dyDescent="0.2">
      <c r="C34" s="420" t="s">
        <v>229</v>
      </c>
      <c r="D34" s="421">
        <v>164</v>
      </c>
      <c r="E34" s="421">
        <v>132</v>
      </c>
      <c r="F34" s="421">
        <v>116</v>
      </c>
      <c r="G34" s="422">
        <f t="shared" si="8"/>
        <v>412</v>
      </c>
    </row>
    <row r="35" spans="2:7" x14ac:dyDescent="0.2">
      <c r="C35" s="420" t="s">
        <v>231</v>
      </c>
      <c r="D35" s="421"/>
      <c r="E35" s="421">
        <v>21</v>
      </c>
      <c r="F35" s="421">
        <v>17</v>
      </c>
      <c r="G35" s="422">
        <f t="shared" si="8"/>
        <v>38</v>
      </c>
    </row>
    <row r="36" spans="2:7" x14ac:dyDescent="0.2">
      <c r="C36" s="423" t="s">
        <v>24</v>
      </c>
      <c r="D36" s="422">
        <f>SUM(D30:D35)</f>
        <v>701</v>
      </c>
      <c r="E36" s="422">
        <f>SUM(E30:E35)</f>
        <v>219</v>
      </c>
      <c r="F36" s="422">
        <f>SUM(F30:F35)</f>
        <v>133</v>
      </c>
      <c r="G36" s="422">
        <f t="shared" si="8"/>
        <v>1053</v>
      </c>
    </row>
    <row r="37" spans="2:7" x14ac:dyDescent="0.2">
      <c r="C37" s="376"/>
      <c r="D37" s="376"/>
      <c r="E37" s="376"/>
      <c r="F37" s="376"/>
      <c r="G37" s="376"/>
    </row>
    <row r="38" spans="2:7" ht="15" x14ac:dyDescent="0.25">
      <c r="B38" s="282" t="s">
        <v>325</v>
      </c>
    </row>
    <row r="39" spans="2:7" x14ac:dyDescent="0.2">
      <c r="B39" s="348"/>
      <c r="C39" s="385"/>
    </row>
    <row r="40" spans="2:7" ht="12.75" customHeight="1" x14ac:dyDescent="0.2">
      <c r="B40" s="386"/>
      <c r="C40" s="386"/>
    </row>
    <row r="41" spans="2:7" ht="12.75" customHeight="1" x14ac:dyDescent="0.2">
      <c r="B41" s="386"/>
      <c r="C41" s="386"/>
    </row>
    <row r="42" spans="2:7" s="280" customFormat="1" ht="9" customHeight="1" x14ac:dyDescent="0.2"/>
    <row r="43" spans="2:7" x14ac:dyDescent="0.2">
      <c r="B43" s="387"/>
      <c r="C43" s="387"/>
    </row>
  </sheetData>
  <mergeCells count="7">
    <mergeCell ref="D8:G8"/>
    <mergeCell ref="C18:C19"/>
    <mergeCell ref="D18:G18"/>
    <mergeCell ref="C28:C29"/>
    <mergeCell ref="D28:G28"/>
    <mergeCell ref="B6:G6"/>
    <mergeCell ref="C7:G7"/>
  </mergeCells>
  <pageMargins left="0.7" right="0.7" top="0.75" bottom="0.75" header="0.3" footer="0.3"/>
  <pageSetup scale="70" orientation="portrait" r:id="rId1"/>
  <colBreaks count="1" manualBreakCount="1">
    <brk id="13" max="44" man="1"/>
  </colBreaks>
  <ignoredErrors>
    <ignoredError sqref="D11:F13 D14 E14:F1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4819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28575</xdr:rowOff>
              </from>
              <to>
                <xdr:col>2</xdr:col>
                <xdr:colOff>0</xdr:colOff>
                <xdr:row>3</xdr:row>
                <xdr:rowOff>47625</xdr:rowOff>
              </to>
            </anchor>
          </objectPr>
        </oleObject>
      </mc:Choice>
      <mc:Fallback>
        <oleObject progId="MSPhotoEd.3" shapeId="3481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 tint="0.59999389629810485"/>
    <pageSetUpPr fitToPage="1"/>
  </sheetPr>
  <dimension ref="B4:BH140"/>
  <sheetViews>
    <sheetView zoomScaleNormal="100" zoomScaleSheetLayoutView="100" workbookViewId="0">
      <selection activeCell="C9" sqref="C9:J9"/>
    </sheetView>
  </sheetViews>
  <sheetFormatPr defaultRowHeight="12.75" x14ac:dyDescent="0.2"/>
  <cols>
    <col min="1" max="1" width="9.140625" style="29"/>
    <col min="2" max="2" width="8.140625" style="29" customWidth="1"/>
    <col min="3" max="3" width="9.42578125" style="29" customWidth="1"/>
    <col min="4" max="4" width="1.7109375" style="29" customWidth="1"/>
    <col min="5" max="5" width="15.28515625" style="29" customWidth="1"/>
    <col min="6" max="7" width="9.28515625" style="29" bestFit="1" customWidth="1"/>
    <col min="8" max="8" width="10.5703125" style="29" customWidth="1"/>
    <col min="9" max="9" width="9.28515625" style="429" bestFit="1" customWidth="1"/>
    <col min="10" max="10" width="11.7109375" style="29" customWidth="1"/>
    <col min="11" max="11" width="1.7109375" style="29" customWidth="1"/>
    <col min="12" max="13" width="9.140625" style="29"/>
    <col min="14" max="14" width="9.28515625" style="29" bestFit="1" customWidth="1"/>
    <col min="15" max="16384" width="9.140625" style="29"/>
  </cols>
  <sheetData>
    <row r="4" spans="2:16" ht="15" x14ac:dyDescent="0.25">
      <c r="J4" s="430" t="s">
        <v>340</v>
      </c>
      <c r="K4" s="280"/>
    </row>
    <row r="5" spans="2:16" ht="9" customHeight="1" x14ac:dyDescent="0.2"/>
    <row r="6" spans="2:16" x14ac:dyDescent="0.2">
      <c r="I6" s="29"/>
      <c r="P6" s="154"/>
    </row>
    <row r="7" spans="2:16" ht="15.75" x14ac:dyDescent="0.25">
      <c r="D7" s="335"/>
      <c r="E7" s="335"/>
      <c r="F7" s="335"/>
      <c r="G7" s="335"/>
      <c r="H7" s="335"/>
      <c r="I7" s="335"/>
      <c r="J7" s="335"/>
      <c r="K7" s="335"/>
      <c r="L7" s="335"/>
      <c r="M7" s="335"/>
      <c r="P7" s="154"/>
    </row>
    <row r="8" spans="2:16" ht="12.75" customHeight="1" x14ac:dyDescent="0.2"/>
    <row r="9" spans="2:16" s="280" customFormat="1" ht="15" x14ac:dyDescent="0.25">
      <c r="B9" s="431" t="s">
        <v>206</v>
      </c>
      <c r="C9" s="432" t="s">
        <v>345</v>
      </c>
      <c r="D9" s="432"/>
      <c r="E9" s="432"/>
      <c r="F9" s="432"/>
      <c r="G9" s="432"/>
      <c r="H9" s="432"/>
      <c r="I9" s="432"/>
      <c r="J9" s="432"/>
      <c r="K9" s="469"/>
      <c r="L9" s="469"/>
      <c r="M9" s="469"/>
    </row>
    <row r="10" spans="2:16" ht="17.25" customHeight="1" x14ac:dyDescent="0.25">
      <c r="C10" s="432" t="s">
        <v>333</v>
      </c>
      <c r="D10" s="432"/>
      <c r="E10" s="432"/>
      <c r="F10" s="432"/>
      <c r="G10" s="432"/>
      <c r="H10" s="432"/>
      <c r="I10" s="432"/>
      <c r="J10" s="432"/>
    </row>
    <row r="11" spans="2:16" ht="13.5" customHeight="1" x14ac:dyDescent="0.2">
      <c r="K11" s="433" t="s">
        <v>251</v>
      </c>
    </row>
    <row r="12" spans="2:16" ht="14.25" x14ac:dyDescent="0.2">
      <c r="E12" s="434"/>
      <c r="F12" s="55" t="s">
        <v>201</v>
      </c>
      <c r="G12" s="435" t="s">
        <v>1</v>
      </c>
      <c r="H12" s="55" t="s">
        <v>220</v>
      </c>
      <c r="I12" s="55" t="s">
        <v>3</v>
      </c>
      <c r="J12" s="436" t="s">
        <v>202</v>
      </c>
      <c r="K12" s="434"/>
    </row>
    <row r="13" spans="2:16" ht="12.75" customHeight="1" x14ac:dyDescent="0.2">
      <c r="C13" s="49"/>
      <c r="D13" s="49"/>
      <c r="E13" s="443"/>
      <c r="F13" s="437"/>
      <c r="G13" s="438"/>
      <c r="H13" s="438"/>
      <c r="I13" s="439"/>
      <c r="J13" s="437"/>
      <c r="K13" s="49"/>
      <c r="N13" s="440"/>
      <c r="P13" s="441"/>
    </row>
    <row r="14" spans="2:16" x14ac:dyDescent="0.2">
      <c r="C14" s="64">
        <v>2009</v>
      </c>
      <c r="D14" s="49"/>
      <c r="E14" s="154" t="s">
        <v>4</v>
      </c>
      <c r="F14" s="437">
        <v>51</v>
      </c>
      <c r="G14" s="438">
        <v>2378</v>
      </c>
      <c r="H14" s="438">
        <v>2283</v>
      </c>
      <c r="I14" s="439">
        <v>4712</v>
      </c>
      <c r="J14" s="437">
        <v>16</v>
      </c>
      <c r="K14" s="49"/>
      <c r="N14" s="440"/>
      <c r="P14" s="441"/>
    </row>
    <row r="15" spans="2:16" x14ac:dyDescent="0.2">
      <c r="C15" s="49"/>
      <c r="D15" s="49"/>
      <c r="E15" s="154" t="s">
        <v>5</v>
      </c>
      <c r="F15" s="437">
        <v>357</v>
      </c>
      <c r="G15" s="438">
        <v>1481</v>
      </c>
      <c r="H15" s="438">
        <v>1138</v>
      </c>
      <c r="I15" s="439">
        <v>2976</v>
      </c>
      <c r="J15" s="437">
        <v>10</v>
      </c>
      <c r="K15" s="49"/>
      <c r="N15" s="440"/>
      <c r="P15" s="441"/>
    </row>
    <row r="16" spans="2:16" s="429" customFormat="1" x14ac:dyDescent="0.2">
      <c r="C16" s="64"/>
      <c r="D16" s="64"/>
      <c r="E16" s="429" t="s">
        <v>6</v>
      </c>
      <c r="F16" s="442">
        <f>IF(SUM(F14:F15)&lt;&gt;SUM(F17:F18),"ERROR",SUM(F17:F18))</f>
        <v>408</v>
      </c>
      <c r="G16" s="439">
        <f>IF(SUM(G14:G15)&lt;&gt;SUM(G17:G18),"ERROR",SUM(G17:G18))</f>
        <v>3859</v>
      </c>
      <c r="H16" s="439">
        <f>IF(SUM(H14:H15)&lt;&gt;SUM(H17:H18),"ERROR",SUM(H17:H18))</f>
        <v>3421</v>
      </c>
      <c r="I16" s="439">
        <f>IF(SUM(I14:I15)&lt;&gt;SUM(I17:I18),"ERROR",SUM(I17:I18))</f>
        <v>7688</v>
      </c>
      <c r="J16" s="442">
        <f>SUM(J14:J15)</f>
        <v>26</v>
      </c>
      <c r="K16" s="64"/>
      <c r="N16" s="92"/>
      <c r="P16" s="447"/>
    </row>
    <row r="17" spans="3:16" x14ac:dyDescent="0.2">
      <c r="C17" s="49"/>
      <c r="D17" s="49"/>
      <c r="E17" s="154" t="s">
        <v>26</v>
      </c>
      <c r="F17" s="437">
        <v>203</v>
      </c>
      <c r="G17" s="438">
        <v>1902</v>
      </c>
      <c r="H17" s="438">
        <v>1771</v>
      </c>
      <c r="I17" s="439">
        <f>SUM(F17:H17)</f>
        <v>3876</v>
      </c>
      <c r="J17" s="437"/>
      <c r="K17" s="49"/>
      <c r="N17" s="440"/>
      <c r="P17" s="441"/>
    </row>
    <row r="18" spans="3:16" x14ac:dyDescent="0.2">
      <c r="C18" s="49"/>
      <c r="D18" s="49"/>
      <c r="E18" s="443" t="s">
        <v>25</v>
      </c>
      <c r="F18" s="437">
        <v>205</v>
      </c>
      <c r="G18" s="438">
        <v>1957</v>
      </c>
      <c r="H18" s="438">
        <v>1650</v>
      </c>
      <c r="I18" s="439">
        <f>SUM(F18:H18)</f>
        <v>3812</v>
      </c>
      <c r="J18" s="437"/>
      <c r="K18" s="49"/>
      <c r="N18" s="440"/>
      <c r="P18" s="441"/>
    </row>
    <row r="19" spans="3:16" x14ac:dyDescent="0.2">
      <c r="C19" s="49"/>
      <c r="D19" s="49"/>
      <c r="E19" s="448" t="s">
        <v>224</v>
      </c>
      <c r="F19" s="449">
        <f>F17/F18</f>
        <v>0.99024390243902438</v>
      </c>
      <c r="G19" s="449">
        <f>G17/G18</f>
        <v>0.97189575881451196</v>
      </c>
      <c r="H19" s="449">
        <f>H17/H18</f>
        <v>1.0733333333333333</v>
      </c>
      <c r="I19" s="450">
        <f>I17/I18</f>
        <v>1.0167890870933893</v>
      </c>
      <c r="J19" s="451"/>
      <c r="K19" s="49"/>
      <c r="N19" s="440"/>
      <c r="P19" s="441"/>
    </row>
    <row r="20" spans="3:16" x14ac:dyDescent="0.2">
      <c r="C20" s="49"/>
      <c r="D20" s="49"/>
      <c r="E20" s="443"/>
      <c r="F20" s="437"/>
      <c r="G20" s="438"/>
      <c r="H20" s="438"/>
      <c r="I20" s="439"/>
      <c r="J20" s="437"/>
      <c r="K20" s="49"/>
      <c r="N20" s="440"/>
      <c r="P20" s="441"/>
    </row>
    <row r="21" spans="3:16" x14ac:dyDescent="0.2">
      <c r="C21" s="64">
        <v>2010</v>
      </c>
      <c r="D21" s="49"/>
      <c r="E21" s="154" t="s">
        <v>4</v>
      </c>
      <c r="F21" s="437">
        <v>87</v>
      </c>
      <c r="G21" s="438">
        <v>2466</v>
      </c>
      <c r="H21" s="438">
        <v>2309</v>
      </c>
      <c r="I21" s="439">
        <f>SUM(F21:H21)</f>
        <v>4862</v>
      </c>
      <c r="J21" s="452">
        <v>16</v>
      </c>
      <c r="K21" s="49"/>
      <c r="N21" s="440"/>
      <c r="P21" s="441"/>
    </row>
    <row r="22" spans="3:16" x14ac:dyDescent="0.2">
      <c r="C22" s="49"/>
      <c r="D22" s="49"/>
      <c r="E22" s="154" t="s">
        <v>5</v>
      </c>
      <c r="F22" s="437">
        <v>300</v>
      </c>
      <c r="G22" s="438">
        <v>1477</v>
      </c>
      <c r="H22" s="438">
        <v>1104</v>
      </c>
      <c r="I22" s="439">
        <f>SUM(F22:H22)</f>
        <v>2881</v>
      </c>
      <c r="J22" s="437">
        <v>10</v>
      </c>
      <c r="K22" s="49"/>
      <c r="N22" s="440"/>
      <c r="P22" s="441"/>
    </row>
    <row r="23" spans="3:16" s="429" customFormat="1" x14ac:dyDescent="0.2">
      <c r="C23" s="64"/>
      <c r="D23" s="64"/>
      <c r="E23" s="429" t="s">
        <v>6</v>
      </c>
      <c r="F23" s="442">
        <v>379</v>
      </c>
      <c r="G23" s="439">
        <v>3897</v>
      </c>
      <c r="H23" s="439">
        <v>3391</v>
      </c>
      <c r="I23" s="439">
        <f>SUM(F23:H23)</f>
        <v>7667</v>
      </c>
      <c r="J23" s="453">
        <v>25</v>
      </c>
      <c r="K23" s="64"/>
      <c r="N23" s="92"/>
      <c r="P23" s="447"/>
    </row>
    <row r="24" spans="3:16" x14ac:dyDescent="0.2">
      <c r="C24" s="49"/>
      <c r="D24" s="49"/>
      <c r="E24" s="154" t="s">
        <v>26</v>
      </c>
      <c r="F24" s="437">
        <v>175</v>
      </c>
      <c r="G24" s="438">
        <v>1995</v>
      </c>
      <c r="H24" s="438">
        <v>1686</v>
      </c>
      <c r="I24" s="439">
        <f>SUM(F24:H24)</f>
        <v>3856</v>
      </c>
      <c r="J24" s="437"/>
      <c r="K24" s="49"/>
      <c r="N24" s="440"/>
      <c r="P24" s="441"/>
    </row>
    <row r="25" spans="3:16" x14ac:dyDescent="0.2">
      <c r="C25" s="49"/>
      <c r="D25" s="49"/>
      <c r="E25" s="443" t="s">
        <v>25</v>
      </c>
      <c r="F25" s="437">
        <v>204</v>
      </c>
      <c r="G25" s="438">
        <v>1902</v>
      </c>
      <c r="H25" s="438">
        <v>1705</v>
      </c>
      <c r="I25" s="439">
        <f>SUM(F25:H25)</f>
        <v>3811</v>
      </c>
      <c r="J25" s="437"/>
      <c r="K25" s="49"/>
      <c r="N25" s="440"/>
      <c r="P25" s="441"/>
    </row>
    <row r="26" spans="3:16" x14ac:dyDescent="0.2">
      <c r="C26" s="49"/>
      <c r="D26" s="49"/>
      <c r="E26" s="448" t="s">
        <v>224</v>
      </c>
      <c r="F26" s="449">
        <f>F24/F25</f>
        <v>0.85784313725490191</v>
      </c>
      <c r="G26" s="449">
        <f>G24/G25</f>
        <v>1.0488958990536277</v>
      </c>
      <c r="H26" s="449">
        <f>H24/H25</f>
        <v>0.98885630498533728</v>
      </c>
      <c r="I26" s="450">
        <f>I24/I25</f>
        <v>1.0118079244292837</v>
      </c>
      <c r="J26" s="451"/>
      <c r="K26" s="49"/>
      <c r="N26" s="440"/>
    </row>
    <row r="27" spans="3:16" x14ac:dyDescent="0.2">
      <c r="C27" s="49"/>
      <c r="D27" s="49"/>
      <c r="E27" s="443"/>
      <c r="F27" s="437"/>
      <c r="G27" s="438"/>
      <c r="H27" s="438"/>
      <c r="I27" s="439"/>
      <c r="J27" s="437"/>
      <c r="K27" s="49"/>
      <c r="N27" s="440"/>
    </row>
    <row r="28" spans="3:16" x14ac:dyDescent="0.2">
      <c r="C28" s="64">
        <v>2011</v>
      </c>
      <c r="D28" s="49"/>
      <c r="E28" s="154" t="s">
        <v>4</v>
      </c>
      <c r="F28" s="454">
        <v>0</v>
      </c>
      <c r="G28" s="438">
        <v>2509</v>
      </c>
      <c r="H28" s="438">
        <v>2381</v>
      </c>
      <c r="I28" s="439">
        <f>SUM(F28:H28)</f>
        <v>4890</v>
      </c>
      <c r="J28" s="437">
        <v>17</v>
      </c>
      <c r="K28" s="49"/>
      <c r="N28" s="440"/>
    </row>
    <row r="29" spans="3:16" x14ac:dyDescent="0.2">
      <c r="C29" s="49"/>
      <c r="D29" s="49"/>
      <c r="E29" s="154" t="s">
        <v>5</v>
      </c>
      <c r="F29" s="454">
        <v>0</v>
      </c>
      <c r="G29" s="438">
        <v>1655</v>
      </c>
      <c r="H29" s="438">
        <v>1101</v>
      </c>
      <c r="I29" s="439">
        <f>SUM(F29:H29)</f>
        <v>2756</v>
      </c>
      <c r="J29" s="437">
        <v>11</v>
      </c>
      <c r="K29" s="49"/>
      <c r="N29" s="440"/>
    </row>
    <row r="30" spans="3:16" s="429" customFormat="1" x14ac:dyDescent="0.2">
      <c r="C30" s="64"/>
      <c r="D30" s="64"/>
      <c r="E30" s="429" t="s">
        <v>6</v>
      </c>
      <c r="F30" s="455">
        <v>0</v>
      </c>
      <c r="G30" s="439">
        <f>IF(SUM(G28:G29)&lt;&gt;SUM(G31:G32),"ERROR",SUM(G28:G29))</f>
        <v>4164</v>
      </c>
      <c r="H30" s="439">
        <f>IF(SUM(H28:H29)&lt;&gt;SUM(H31:H32),"ERROR",SUM(H28:H29))</f>
        <v>3482</v>
      </c>
      <c r="I30" s="439">
        <f>IF(SUM(I28:I29)&lt;&gt;SUM(I31:I32),"ERROR",SUM(I28:I29))</f>
        <v>7646</v>
      </c>
      <c r="J30" s="442">
        <v>28</v>
      </c>
      <c r="K30" s="64"/>
      <c r="L30" s="456"/>
      <c r="N30" s="92"/>
    </row>
    <row r="31" spans="3:16" x14ac:dyDescent="0.2">
      <c r="C31" s="49"/>
      <c r="D31" s="49"/>
      <c r="E31" s="154" t="s">
        <v>26</v>
      </c>
      <c r="F31" s="454">
        <v>0</v>
      </c>
      <c r="G31" s="437">
        <v>2081</v>
      </c>
      <c r="H31" s="438">
        <v>1755</v>
      </c>
      <c r="I31" s="439">
        <f>SUM(F31:H31)</f>
        <v>3836</v>
      </c>
      <c r="J31" s="437"/>
      <c r="K31" s="49"/>
      <c r="N31" s="440"/>
    </row>
    <row r="32" spans="3:16" x14ac:dyDescent="0.2">
      <c r="C32" s="49"/>
      <c r="D32" s="49"/>
      <c r="E32" s="443" t="s">
        <v>25</v>
      </c>
      <c r="F32" s="457">
        <v>0</v>
      </c>
      <c r="G32" s="437">
        <v>2083</v>
      </c>
      <c r="H32" s="438">
        <v>1727</v>
      </c>
      <c r="I32" s="439">
        <f>SUM(F32:H32)</f>
        <v>3810</v>
      </c>
      <c r="J32" s="437"/>
      <c r="K32" s="49"/>
      <c r="N32" s="440"/>
    </row>
    <row r="33" spans="3:14" x14ac:dyDescent="0.2">
      <c r="C33" s="49"/>
      <c r="D33" s="49"/>
      <c r="E33" s="448" t="s">
        <v>224</v>
      </c>
      <c r="F33" s="458"/>
      <c r="G33" s="449">
        <f>G31/G32</f>
        <v>0.99903984637542009</v>
      </c>
      <c r="H33" s="449">
        <f>H31/H32</f>
        <v>1.0162130862767806</v>
      </c>
      <c r="I33" s="450">
        <f>I31/I32</f>
        <v>1.0068241469816273</v>
      </c>
      <c r="J33" s="451"/>
      <c r="K33" s="49"/>
      <c r="N33" s="440"/>
    </row>
    <row r="34" spans="3:14" x14ac:dyDescent="0.2">
      <c r="C34" s="49"/>
      <c r="D34" s="49"/>
      <c r="E34" s="443"/>
      <c r="F34" s="457"/>
      <c r="G34" s="437"/>
      <c r="H34" s="438"/>
      <c r="I34" s="439"/>
      <c r="J34" s="437"/>
      <c r="K34" s="49"/>
      <c r="N34" s="440"/>
    </row>
    <row r="35" spans="3:14" x14ac:dyDescent="0.2">
      <c r="C35" s="64">
        <v>2012</v>
      </c>
      <c r="D35" s="49"/>
      <c r="E35" s="443" t="s">
        <v>4</v>
      </c>
      <c r="F35" s="457">
        <v>0</v>
      </c>
      <c r="G35" s="438">
        <v>2426</v>
      </c>
      <c r="H35" s="438">
        <v>2530</v>
      </c>
      <c r="I35" s="439">
        <f>SUM(G35:H35)</f>
        <v>4956</v>
      </c>
      <c r="J35" s="437">
        <v>17</v>
      </c>
      <c r="K35" s="49"/>
      <c r="N35" s="440"/>
    </row>
    <row r="36" spans="3:14" x14ac:dyDescent="0.2">
      <c r="C36" s="49"/>
      <c r="D36" s="49"/>
      <c r="E36" s="154" t="s">
        <v>5</v>
      </c>
      <c r="F36" s="454">
        <v>0</v>
      </c>
      <c r="G36" s="438">
        <v>1537</v>
      </c>
      <c r="H36" s="438">
        <v>1250</v>
      </c>
      <c r="I36" s="439">
        <f>SUM(G36:H36)</f>
        <v>2787</v>
      </c>
      <c r="J36" s="437">
        <v>10</v>
      </c>
      <c r="K36" s="49"/>
      <c r="N36" s="440"/>
    </row>
    <row r="37" spans="3:14" s="429" customFormat="1" x14ac:dyDescent="0.2">
      <c r="C37" s="64"/>
      <c r="D37" s="64"/>
      <c r="E37" s="429" t="s">
        <v>6</v>
      </c>
      <c r="F37" s="455">
        <v>0</v>
      </c>
      <c r="G37" s="439">
        <f>IF(SUM(G35:G36)&lt;&gt;SUM(G38:G39),"ERROR",SUM(G35:G36))</f>
        <v>3963</v>
      </c>
      <c r="H37" s="439">
        <f>IF(SUM(H35:H36)&lt;&gt;SUM(H38:H39),"ERROR",SUM(H35:H36))</f>
        <v>3780</v>
      </c>
      <c r="I37" s="439">
        <f>IF(SUM(I35:I36)&lt;&gt;SUM(I38:I39),"ERROR",SUM(I35:I36))</f>
        <v>7743</v>
      </c>
      <c r="J37" s="442">
        <f>SUM(J35:J36)</f>
        <v>27</v>
      </c>
      <c r="K37" s="64"/>
      <c r="N37" s="92"/>
    </row>
    <row r="38" spans="3:14" x14ac:dyDescent="0.2">
      <c r="C38" s="49"/>
      <c r="D38" s="49"/>
      <c r="E38" s="154" t="s">
        <v>26</v>
      </c>
      <c r="F38" s="454">
        <v>0</v>
      </c>
      <c r="G38" s="437">
        <v>1968</v>
      </c>
      <c r="H38" s="438">
        <v>1899</v>
      </c>
      <c r="I38" s="439">
        <f>SUM(G38:H38)</f>
        <v>3867</v>
      </c>
      <c r="J38" s="437"/>
      <c r="K38" s="49"/>
      <c r="N38" s="440"/>
    </row>
    <row r="39" spans="3:14" x14ac:dyDescent="0.2">
      <c r="C39" s="49"/>
      <c r="D39" s="49"/>
      <c r="E39" s="443" t="s">
        <v>25</v>
      </c>
      <c r="F39" s="457">
        <v>0</v>
      </c>
      <c r="G39" s="437">
        <v>1995</v>
      </c>
      <c r="H39" s="438">
        <v>1881</v>
      </c>
      <c r="I39" s="439">
        <f>SUM(G39:H39)</f>
        <v>3876</v>
      </c>
      <c r="J39" s="437"/>
      <c r="K39" s="49"/>
      <c r="N39" s="440"/>
    </row>
    <row r="40" spans="3:14" x14ac:dyDescent="0.2">
      <c r="C40" s="49"/>
      <c r="D40" s="49"/>
      <c r="E40" s="448" t="s">
        <v>224</v>
      </c>
      <c r="F40" s="451"/>
      <c r="G40" s="459">
        <f>G38/G39</f>
        <v>0.98646616541353382</v>
      </c>
      <c r="H40" s="459">
        <f>H38/H39</f>
        <v>1.0095693779904307</v>
      </c>
      <c r="I40" s="460">
        <f>I38/I39</f>
        <v>0.99767801857585137</v>
      </c>
      <c r="J40" s="451"/>
      <c r="K40" s="49"/>
      <c r="N40" s="440"/>
    </row>
    <row r="41" spans="3:14" x14ac:dyDescent="0.2">
      <c r="C41" s="49"/>
      <c r="D41" s="49"/>
      <c r="E41" s="443"/>
      <c r="F41" s="437"/>
      <c r="G41" s="461"/>
      <c r="H41" s="461"/>
      <c r="I41" s="462"/>
      <c r="J41" s="437"/>
      <c r="K41" s="49"/>
      <c r="N41" s="440"/>
    </row>
    <row r="42" spans="3:14" x14ac:dyDescent="0.2">
      <c r="C42" s="64">
        <v>2013</v>
      </c>
      <c r="D42" s="49"/>
      <c r="E42" s="443" t="s">
        <v>4</v>
      </c>
      <c r="F42" s="457">
        <v>0</v>
      </c>
      <c r="G42" s="438">
        <v>2370</v>
      </c>
      <c r="H42" s="438">
        <v>2466</v>
      </c>
      <c r="I42" s="439">
        <f>SUM(G42:H42)</f>
        <v>4836</v>
      </c>
      <c r="J42" s="437">
        <v>17</v>
      </c>
      <c r="K42" s="49"/>
      <c r="N42" s="440"/>
    </row>
    <row r="43" spans="3:14" x14ac:dyDescent="0.2">
      <c r="C43" s="49"/>
      <c r="D43" s="49"/>
      <c r="E43" s="154" t="s">
        <v>5</v>
      </c>
      <c r="F43" s="454">
        <v>0</v>
      </c>
      <c r="G43" s="438">
        <v>1611</v>
      </c>
      <c r="H43" s="438">
        <v>1275</v>
      </c>
      <c r="I43" s="439">
        <f>SUM(G43:H43)</f>
        <v>2886</v>
      </c>
      <c r="J43" s="437">
        <v>11</v>
      </c>
      <c r="K43" s="49"/>
      <c r="N43" s="440"/>
    </row>
    <row r="44" spans="3:14" x14ac:dyDescent="0.2">
      <c r="C44" s="64"/>
      <c r="D44" s="64"/>
      <c r="E44" s="429" t="s">
        <v>6</v>
      </c>
      <c r="F44" s="455">
        <v>0</v>
      </c>
      <c r="G44" s="439">
        <f>SUM(G42,G43)</f>
        <v>3981</v>
      </c>
      <c r="H44" s="439">
        <f>SUM(H42,H43)</f>
        <v>3741</v>
      </c>
      <c r="I44" s="439">
        <f>SUM(I42,I43)</f>
        <v>7722</v>
      </c>
      <c r="J44" s="442">
        <f>SUM(J42:J43)</f>
        <v>28</v>
      </c>
      <c r="K44" s="49"/>
      <c r="N44" s="440"/>
    </row>
    <row r="45" spans="3:14" x14ac:dyDescent="0.2">
      <c r="C45" s="49"/>
      <c r="D45" s="49"/>
      <c r="E45" s="154" t="s">
        <v>26</v>
      </c>
      <c r="F45" s="454">
        <v>0</v>
      </c>
      <c r="G45" s="437">
        <v>1964</v>
      </c>
      <c r="H45" s="438">
        <v>1874</v>
      </c>
      <c r="I45" s="439">
        <f>SUM(G45:H45)</f>
        <v>3838</v>
      </c>
      <c r="J45" s="437"/>
      <c r="K45" s="49"/>
      <c r="N45" s="440"/>
    </row>
    <row r="46" spans="3:14" x14ac:dyDescent="0.2">
      <c r="C46" s="49"/>
      <c r="D46" s="49"/>
      <c r="E46" s="443" t="s">
        <v>25</v>
      </c>
      <c r="F46" s="457">
        <v>0</v>
      </c>
      <c r="G46" s="437">
        <v>2017</v>
      </c>
      <c r="H46" s="438">
        <v>1867</v>
      </c>
      <c r="I46" s="439">
        <f>SUM(G46:H46)</f>
        <v>3884</v>
      </c>
      <c r="J46" s="437"/>
      <c r="K46" s="49"/>
      <c r="N46" s="440"/>
    </row>
    <row r="47" spans="3:14" x14ac:dyDescent="0.2">
      <c r="C47" s="49"/>
      <c r="D47" s="49"/>
      <c r="E47" s="448" t="s">
        <v>224</v>
      </c>
      <c r="F47" s="451"/>
      <c r="G47" s="459">
        <f>G45/G46</f>
        <v>0.97372335151214673</v>
      </c>
      <c r="H47" s="459">
        <f>H45/H46</f>
        <v>1.0037493304767007</v>
      </c>
      <c r="I47" s="459">
        <f>I45/I46</f>
        <v>0.98815653964984551</v>
      </c>
      <c r="J47" s="451"/>
      <c r="K47" s="49"/>
      <c r="N47" s="440"/>
    </row>
    <row r="48" spans="3:14" x14ac:dyDescent="0.2">
      <c r="C48" s="49"/>
      <c r="D48" s="49"/>
      <c r="E48" s="443"/>
      <c r="F48" s="437"/>
      <c r="G48" s="461"/>
      <c r="H48" s="461"/>
      <c r="I48" s="461"/>
      <c r="J48" s="437"/>
      <c r="K48" s="49"/>
      <c r="N48" s="440"/>
    </row>
    <row r="49" spans="3:14" x14ac:dyDescent="0.2">
      <c r="C49" s="64">
        <v>2014</v>
      </c>
      <c r="D49" s="49"/>
      <c r="E49" s="443" t="s">
        <v>4</v>
      </c>
      <c r="F49" s="457">
        <v>0</v>
      </c>
      <c r="G49" s="438">
        <v>2432</v>
      </c>
      <c r="H49" s="438">
        <v>2307</v>
      </c>
      <c r="I49" s="439">
        <f>SUM(G49:H49)</f>
        <v>4739</v>
      </c>
      <c r="J49" s="437">
        <v>17</v>
      </c>
      <c r="K49" s="49"/>
      <c r="N49" s="440"/>
    </row>
    <row r="50" spans="3:14" x14ac:dyDescent="0.2">
      <c r="C50" s="49"/>
      <c r="D50" s="49"/>
      <c r="E50" s="154" t="s">
        <v>5</v>
      </c>
      <c r="F50" s="454">
        <v>0</v>
      </c>
      <c r="G50" s="438">
        <v>1703</v>
      </c>
      <c r="H50" s="438">
        <v>1364</v>
      </c>
      <c r="I50" s="439">
        <f>SUM(G50:H50)</f>
        <v>3067</v>
      </c>
      <c r="J50" s="437">
        <v>11</v>
      </c>
      <c r="K50" s="49"/>
      <c r="N50" s="440"/>
    </row>
    <row r="51" spans="3:14" x14ac:dyDescent="0.2">
      <c r="C51" s="64"/>
      <c r="D51" s="64"/>
      <c r="E51" s="429" t="s">
        <v>6</v>
      </c>
      <c r="F51" s="455">
        <v>0</v>
      </c>
      <c r="G51" s="439">
        <f>IF(SUM(G49:G50)&lt;&gt;SUM(G52:G53),"ERROR",SUM(G49:G50))</f>
        <v>4135</v>
      </c>
      <c r="H51" s="439">
        <f>IF(SUM(H49:H50)&lt;&gt;SUM(H52:H53),"ERROR",SUM(H49:H50))</f>
        <v>3671</v>
      </c>
      <c r="I51" s="439">
        <f>IF(SUM(I49:I50)&lt;&gt;SUM(I52:I53),"ERROR",SUM(I49:I50))</f>
        <v>7806</v>
      </c>
      <c r="J51" s="442"/>
      <c r="K51" s="49"/>
      <c r="N51" s="440"/>
    </row>
    <row r="52" spans="3:14" x14ac:dyDescent="0.2">
      <c r="C52" s="49"/>
      <c r="D52" s="49"/>
      <c r="E52" s="154" t="s">
        <v>26</v>
      </c>
      <c r="F52" s="454">
        <v>0</v>
      </c>
      <c r="G52" s="437">
        <v>2033</v>
      </c>
      <c r="H52" s="438">
        <v>1840</v>
      </c>
      <c r="I52" s="439">
        <f>SUM(G52:H52)</f>
        <v>3873</v>
      </c>
      <c r="J52" s="437"/>
      <c r="K52" s="49"/>
      <c r="N52" s="440"/>
    </row>
    <row r="53" spans="3:14" x14ac:dyDescent="0.2">
      <c r="C53" s="49"/>
      <c r="D53" s="49"/>
      <c r="E53" s="443" t="s">
        <v>25</v>
      </c>
      <c r="F53" s="457">
        <v>0</v>
      </c>
      <c r="G53" s="437">
        <v>2102</v>
      </c>
      <c r="H53" s="438">
        <v>1831</v>
      </c>
      <c r="I53" s="439">
        <f>SUM(G53:H53)</f>
        <v>3933</v>
      </c>
      <c r="J53" s="437"/>
      <c r="K53" s="49"/>
      <c r="N53" s="440"/>
    </row>
    <row r="54" spans="3:14" x14ac:dyDescent="0.2">
      <c r="C54" s="49"/>
      <c r="D54" s="49"/>
      <c r="E54" s="448" t="s">
        <v>224</v>
      </c>
      <c r="F54" s="451"/>
      <c r="G54" s="459">
        <f>G52/G53</f>
        <v>0.96717411988582302</v>
      </c>
      <c r="H54" s="459">
        <f>H52/H53</f>
        <v>1.0049153468050245</v>
      </c>
      <c r="I54" s="459">
        <f>I52/I53</f>
        <v>0.98474446987032804</v>
      </c>
      <c r="J54" s="451"/>
      <c r="K54" s="49"/>
      <c r="N54" s="440"/>
    </row>
    <row r="55" spans="3:14" x14ac:dyDescent="0.2">
      <c r="K55" s="49"/>
      <c r="N55" s="440"/>
    </row>
    <row r="56" spans="3:14" x14ac:dyDescent="0.2">
      <c r="C56" s="64">
        <v>2015</v>
      </c>
      <c r="D56" s="49"/>
      <c r="E56" s="443" t="s">
        <v>4</v>
      </c>
      <c r="F56" s="457">
        <v>0</v>
      </c>
      <c r="G56" s="438">
        <v>2456</v>
      </c>
      <c r="H56" s="438">
        <v>2252</v>
      </c>
      <c r="I56" s="439">
        <f>SUM(G56:H56)</f>
        <v>4708</v>
      </c>
      <c r="J56" s="437">
        <v>17</v>
      </c>
      <c r="K56" s="49"/>
      <c r="N56" s="440"/>
    </row>
    <row r="57" spans="3:14" x14ac:dyDescent="0.2">
      <c r="C57" s="49"/>
      <c r="D57" s="49"/>
      <c r="E57" s="154" t="s">
        <v>5</v>
      </c>
      <c r="F57" s="454">
        <v>0</v>
      </c>
      <c r="G57" s="438">
        <v>1804</v>
      </c>
      <c r="H57" s="438">
        <v>1409</v>
      </c>
      <c r="I57" s="439">
        <f>SUM(G57:H57)</f>
        <v>3213</v>
      </c>
      <c r="J57" s="437">
        <v>11</v>
      </c>
      <c r="K57" s="49"/>
      <c r="N57" s="440"/>
    </row>
    <row r="58" spans="3:14" x14ac:dyDescent="0.2">
      <c r="C58" s="64"/>
      <c r="D58" s="64"/>
      <c r="E58" s="429" t="s">
        <v>6</v>
      </c>
      <c r="F58" s="455">
        <v>0</v>
      </c>
      <c r="G58" s="439">
        <f>IF(SUM(G56:G57)&lt;&gt;SUM(G59:G60),"ERROR",SUM(G56:G57))</f>
        <v>4260</v>
      </c>
      <c r="H58" s="439">
        <f>IF(SUM(H56:H57)&lt;&gt;SUM(H59:H60),"ERROR",SUM(H56:H57))</f>
        <v>3661</v>
      </c>
      <c r="I58" s="439">
        <f>IF(SUM(I56:I57)&lt;&gt;SUM(I59:I60),"ERROR",SUM(I56:I57))</f>
        <v>7921</v>
      </c>
      <c r="J58" s="442"/>
      <c r="K58" s="49"/>
      <c r="N58" s="440"/>
    </row>
    <row r="59" spans="3:14" x14ac:dyDescent="0.2">
      <c r="C59" s="49"/>
      <c r="D59" s="49"/>
      <c r="E59" s="154" t="s">
        <v>26</v>
      </c>
      <c r="F59" s="454">
        <v>0</v>
      </c>
      <c r="G59" s="463">
        <v>2188</v>
      </c>
      <c r="H59" s="438">
        <v>1829</v>
      </c>
      <c r="I59" s="439">
        <f>SUM(G59:H59)</f>
        <v>4017</v>
      </c>
      <c r="J59" s="437"/>
      <c r="K59" s="49"/>
      <c r="N59" s="440"/>
    </row>
    <row r="60" spans="3:14" x14ac:dyDescent="0.2">
      <c r="C60" s="49"/>
      <c r="D60" s="49"/>
      <c r="E60" s="443" t="s">
        <v>25</v>
      </c>
      <c r="F60" s="457">
        <v>0</v>
      </c>
      <c r="G60" s="437">
        <v>2072</v>
      </c>
      <c r="H60" s="438">
        <v>1832</v>
      </c>
      <c r="I60" s="439">
        <f>SUM(G60:H60)</f>
        <v>3904</v>
      </c>
      <c r="J60" s="437"/>
      <c r="K60" s="49"/>
      <c r="N60" s="440"/>
    </row>
    <row r="61" spans="3:14" ht="12.75" customHeight="1" x14ac:dyDescent="0.2">
      <c r="C61" s="49"/>
      <c r="D61" s="49"/>
      <c r="E61" s="448" t="s">
        <v>224</v>
      </c>
      <c r="F61" s="451"/>
      <c r="G61" s="449">
        <f>G59/G60</f>
        <v>1.055984555984556</v>
      </c>
      <c r="H61" s="449">
        <f>H59/H60</f>
        <v>0.9983624454148472</v>
      </c>
      <c r="I61" s="449">
        <f>I59/I60</f>
        <v>1.0289446721311475</v>
      </c>
      <c r="J61" s="451"/>
      <c r="K61" s="49"/>
    </row>
    <row r="62" spans="3:14" x14ac:dyDescent="0.2">
      <c r="K62" s="49"/>
    </row>
    <row r="63" spans="3:14" x14ac:dyDescent="0.2">
      <c r="C63" s="429">
        <v>2016</v>
      </c>
      <c r="E63" s="443" t="s">
        <v>4</v>
      </c>
      <c r="F63" s="457">
        <v>0</v>
      </c>
      <c r="G63" s="438">
        <v>2418</v>
      </c>
      <c r="H63" s="438">
        <v>2281</v>
      </c>
      <c r="I63" s="439">
        <f>SUM(G63:H63)</f>
        <v>4699</v>
      </c>
      <c r="J63" s="437">
        <v>17</v>
      </c>
      <c r="K63" s="49"/>
    </row>
    <row r="64" spans="3:14" x14ac:dyDescent="0.2">
      <c r="E64" s="154" t="s">
        <v>5</v>
      </c>
      <c r="F64" s="454">
        <v>0</v>
      </c>
      <c r="G64" s="438">
        <v>1881</v>
      </c>
      <c r="H64" s="438">
        <v>1498</v>
      </c>
      <c r="I64" s="439">
        <f>SUM(G64:H64)</f>
        <v>3379</v>
      </c>
      <c r="J64" s="437">
        <v>11</v>
      </c>
      <c r="K64" s="49"/>
    </row>
    <row r="65" spans="3:11" x14ac:dyDescent="0.2">
      <c r="E65" s="429" t="s">
        <v>6</v>
      </c>
      <c r="F65" s="455">
        <v>0</v>
      </c>
      <c r="G65" s="439">
        <f>IF(SUM(G63:G64)&lt;&gt;SUM(G66:G67),"ERROR",SUM(G63:G64))</f>
        <v>4299</v>
      </c>
      <c r="H65" s="439">
        <f>IF(SUM(H63:H64)&lt;&gt;SUM(H66:H67),"ERROR",SUM(H63:H64))</f>
        <v>3779</v>
      </c>
      <c r="I65" s="439">
        <f>IF(SUM(I63:I64)&lt;&gt;SUM(I66:I67),"ERROR",SUM(I63:I64))</f>
        <v>8078</v>
      </c>
      <c r="J65" s="442">
        <v>28</v>
      </c>
      <c r="K65" s="49"/>
    </row>
    <row r="66" spans="3:11" x14ac:dyDescent="0.2">
      <c r="E66" s="154" t="s">
        <v>26</v>
      </c>
      <c r="F66" s="454">
        <v>0</v>
      </c>
      <c r="G66" s="463">
        <v>2080</v>
      </c>
      <c r="H66" s="438">
        <v>1900</v>
      </c>
      <c r="I66" s="439">
        <f>SUM(G66:H66)</f>
        <v>3980</v>
      </c>
      <c r="J66" s="437"/>
      <c r="K66" s="49"/>
    </row>
    <row r="67" spans="3:11" x14ac:dyDescent="0.2">
      <c r="E67" s="443" t="s">
        <v>25</v>
      </c>
      <c r="F67" s="457">
        <v>0</v>
      </c>
      <c r="G67" s="437">
        <v>2219</v>
      </c>
      <c r="H67" s="438">
        <v>1879</v>
      </c>
      <c r="I67" s="439">
        <f>SUM(G67:H67)</f>
        <v>4098</v>
      </c>
      <c r="J67" s="437"/>
      <c r="K67" s="49"/>
    </row>
    <row r="68" spans="3:11" x14ac:dyDescent="0.2">
      <c r="E68" s="448" t="s">
        <v>224</v>
      </c>
      <c r="F68" s="451"/>
      <c r="G68" s="449">
        <f>G66/G67</f>
        <v>0.93735917079765663</v>
      </c>
      <c r="H68" s="449">
        <f>H66/H67</f>
        <v>1.0111761575306013</v>
      </c>
      <c r="I68" s="449">
        <f>I66/I67</f>
        <v>0.9712054660810151</v>
      </c>
      <c r="J68" s="451"/>
      <c r="K68" s="49"/>
    </row>
    <row r="69" spans="3:11" x14ac:dyDescent="0.2">
      <c r="E69" s="443"/>
      <c r="F69" s="437"/>
      <c r="G69" s="446"/>
      <c r="H69" s="446"/>
      <c r="I69" s="446"/>
      <c r="J69" s="437"/>
      <c r="K69" s="49"/>
    </row>
    <row r="70" spans="3:11" x14ac:dyDescent="0.2">
      <c r="C70" s="429">
        <v>2017</v>
      </c>
      <c r="E70" s="443" t="s">
        <v>4</v>
      </c>
      <c r="F70" s="457">
        <v>0</v>
      </c>
      <c r="G70" s="438">
        <v>2425</v>
      </c>
      <c r="H70" s="438">
        <v>2231</v>
      </c>
      <c r="I70" s="439">
        <f>SUM(G70:H70)</f>
        <v>4656</v>
      </c>
      <c r="J70" s="437">
        <v>17</v>
      </c>
      <c r="K70" s="49"/>
    </row>
    <row r="71" spans="3:11" x14ac:dyDescent="0.2">
      <c r="E71" s="154" t="s">
        <v>5</v>
      </c>
      <c r="F71" s="454">
        <v>0</v>
      </c>
      <c r="G71" s="438">
        <v>1786</v>
      </c>
      <c r="H71" s="438">
        <v>1535</v>
      </c>
      <c r="I71" s="439">
        <f>SUM(G71:H71)</f>
        <v>3321</v>
      </c>
      <c r="J71" s="437">
        <v>11</v>
      </c>
      <c r="K71" s="49"/>
    </row>
    <row r="72" spans="3:11" x14ac:dyDescent="0.2">
      <c r="E72" s="429" t="s">
        <v>6</v>
      </c>
      <c r="F72" s="455">
        <v>0</v>
      </c>
      <c r="G72" s="439">
        <f>IF(SUM(G70:G71)&lt;&gt;SUM(G73:G74),"ERROR",SUM(G70:G71))</f>
        <v>4211</v>
      </c>
      <c r="H72" s="439">
        <f>IF(SUM(H70:H71)&lt;&gt;SUM(H73:H74),"ERROR",SUM(H70:H71))</f>
        <v>3766</v>
      </c>
      <c r="I72" s="439">
        <f>IF(SUM(I70:I71)&lt;&gt;SUM(I73:I74),"ERROR",SUM(I70:I71))</f>
        <v>7977</v>
      </c>
      <c r="J72" s="442">
        <v>28</v>
      </c>
      <c r="K72" s="49"/>
    </row>
    <row r="73" spans="3:11" x14ac:dyDescent="0.2">
      <c r="E73" s="154" t="s">
        <v>26</v>
      </c>
      <c r="F73" s="454">
        <v>0</v>
      </c>
      <c r="G73" s="463">
        <v>2015</v>
      </c>
      <c r="H73" s="438">
        <v>1884</v>
      </c>
      <c r="I73" s="439">
        <f>SUM(G73:H73)</f>
        <v>3899</v>
      </c>
      <c r="J73" s="437"/>
      <c r="K73" s="49"/>
    </row>
    <row r="74" spans="3:11" x14ac:dyDescent="0.2">
      <c r="E74" s="443" t="s">
        <v>25</v>
      </c>
      <c r="F74" s="457">
        <v>0</v>
      </c>
      <c r="G74" s="437">
        <v>2196</v>
      </c>
      <c r="H74" s="438">
        <v>1882</v>
      </c>
      <c r="I74" s="439">
        <f>SUM(G74:H74)</f>
        <v>4078</v>
      </c>
      <c r="J74" s="437"/>
      <c r="K74" s="49"/>
    </row>
    <row r="75" spans="3:11" x14ac:dyDescent="0.2">
      <c r="E75" s="448" t="s">
        <v>224</v>
      </c>
      <c r="F75" s="451"/>
      <c r="G75" s="449">
        <f>G73/G74</f>
        <v>0.91757741347905286</v>
      </c>
      <c r="H75" s="449">
        <f>H73/H74</f>
        <v>1.0010626992561105</v>
      </c>
      <c r="I75" s="449">
        <f>I73/I74</f>
        <v>0.95610593428151058</v>
      </c>
      <c r="J75" s="451"/>
      <c r="K75" s="49"/>
    </row>
    <row r="76" spans="3:11" x14ac:dyDescent="0.2">
      <c r="C76" s="429"/>
      <c r="E76" s="443"/>
      <c r="F76" s="457"/>
      <c r="G76" s="438"/>
      <c r="H76" s="438"/>
      <c r="I76" s="439"/>
      <c r="J76" s="437"/>
      <c r="K76" s="49"/>
    </row>
    <row r="77" spans="3:11" x14ac:dyDescent="0.2">
      <c r="K77" s="49"/>
    </row>
    <row r="78" spans="3:11" x14ac:dyDescent="0.2">
      <c r="E78" s="64" t="s">
        <v>118</v>
      </c>
      <c r="F78" s="437"/>
      <c r="G78" s="438"/>
      <c r="H78" s="438"/>
      <c r="I78" s="439"/>
      <c r="J78" s="437"/>
      <c r="K78" s="49"/>
    </row>
    <row r="79" spans="3:11" x14ac:dyDescent="0.2">
      <c r="D79" s="466">
        <v>1</v>
      </c>
      <c r="E79" s="342" t="s">
        <v>284</v>
      </c>
      <c r="F79" s="437"/>
      <c r="G79" s="438"/>
      <c r="H79" s="438"/>
      <c r="I79" s="439"/>
      <c r="J79" s="437"/>
      <c r="K79" s="49"/>
    </row>
    <row r="80" spans="3:11" x14ac:dyDescent="0.2">
      <c r="E80" s="388" t="s">
        <v>222</v>
      </c>
      <c r="F80" s="388"/>
      <c r="G80" s="388"/>
      <c r="H80" s="388"/>
      <c r="I80" s="388"/>
      <c r="J80" s="388"/>
    </row>
    <row r="81" spans="2:12" x14ac:dyDescent="0.2">
      <c r="E81" s="443"/>
      <c r="H81" s="464"/>
      <c r="I81" s="465"/>
      <c r="J81" s="464"/>
    </row>
    <row r="82" spans="2:12" x14ac:dyDescent="0.2">
      <c r="E82" s="342" t="s">
        <v>326</v>
      </c>
      <c r="F82" s="464"/>
      <c r="G82" s="464"/>
      <c r="I82" s="456" t="s">
        <v>0</v>
      </c>
    </row>
    <row r="83" spans="2:12" x14ac:dyDescent="0.2">
      <c r="E83" s="342"/>
      <c r="I83" s="456"/>
    </row>
    <row r="84" spans="2:12" x14ac:dyDescent="0.2">
      <c r="E84" s="365" t="s">
        <v>285</v>
      </c>
      <c r="I84" s="456"/>
    </row>
    <row r="85" spans="2:12" x14ac:dyDescent="0.2">
      <c r="C85" s="49"/>
      <c r="D85" s="49"/>
      <c r="E85" s="443"/>
      <c r="F85" s="437"/>
      <c r="G85" s="461"/>
      <c r="H85" s="461"/>
      <c r="I85" s="461"/>
      <c r="J85" s="437"/>
      <c r="K85" s="49"/>
    </row>
    <row r="86" spans="2:12" x14ac:dyDescent="0.2">
      <c r="C86" s="49"/>
      <c r="E86" s="443"/>
      <c r="F86" s="437"/>
      <c r="G86" s="461"/>
      <c r="H86" s="461"/>
      <c r="I86" s="462"/>
      <c r="J86" s="437"/>
      <c r="K86" s="49"/>
    </row>
    <row r="87" spans="2:12" x14ac:dyDescent="0.2">
      <c r="D87" s="145"/>
    </row>
    <row r="88" spans="2:12" ht="9" customHeight="1" x14ac:dyDescent="0.2">
      <c r="B88" s="444"/>
      <c r="C88" s="444"/>
      <c r="D88" s="444"/>
      <c r="E88" s="444"/>
      <c r="F88" s="444"/>
      <c r="G88" s="444"/>
      <c r="H88" s="444"/>
      <c r="I88" s="467"/>
      <c r="J88" s="444"/>
      <c r="K88" s="444"/>
    </row>
    <row r="89" spans="2:12" x14ac:dyDescent="0.2">
      <c r="B89" s="468"/>
      <c r="C89" s="468"/>
      <c r="D89" s="468"/>
      <c r="E89" s="468"/>
      <c r="F89" s="468"/>
      <c r="G89" s="468"/>
      <c r="H89" s="468"/>
      <c r="I89" s="468"/>
      <c r="J89" s="468"/>
      <c r="K89" s="468"/>
      <c r="L89" s="468"/>
    </row>
    <row r="90" spans="2:12" x14ac:dyDescent="0.2">
      <c r="E90" s="145"/>
      <c r="I90" s="456"/>
    </row>
    <row r="130" spans="6:60" x14ac:dyDescent="0.2"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</row>
    <row r="131" spans="6:60" x14ac:dyDescent="0.2"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</row>
    <row r="132" spans="6:60" x14ac:dyDescent="0.2"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</row>
    <row r="138" spans="6:60" x14ac:dyDescent="0.2">
      <c r="F138" s="49"/>
      <c r="G138" s="49"/>
      <c r="H138" s="49"/>
      <c r="I138" s="64"/>
      <c r="J138" s="49"/>
      <c r="K138" s="49"/>
      <c r="L138" s="49"/>
      <c r="M138" s="49"/>
    </row>
    <row r="139" spans="6:60" x14ac:dyDescent="0.2">
      <c r="F139" s="49"/>
      <c r="G139" s="49"/>
      <c r="H139" s="49"/>
      <c r="I139" s="64"/>
      <c r="J139" s="49"/>
      <c r="K139" s="49"/>
      <c r="L139" s="49"/>
      <c r="M139" s="49"/>
    </row>
    <row r="140" spans="6:60" x14ac:dyDescent="0.2">
      <c r="F140" s="49"/>
      <c r="G140" s="49"/>
      <c r="H140" s="49"/>
      <c r="I140" s="64"/>
      <c r="J140" s="49"/>
      <c r="K140" s="49"/>
      <c r="L140" s="49"/>
      <c r="M140" s="49"/>
    </row>
  </sheetData>
  <mergeCells count="3">
    <mergeCell ref="E80:J80"/>
    <mergeCell ref="C9:J9"/>
    <mergeCell ref="C10:J10"/>
  </mergeCells>
  <phoneticPr fontId="0" type="noConversion"/>
  <pageMargins left="0.7" right="0.7" top="0.75" bottom="0.75" header="0.3" footer="0.3"/>
  <pageSetup scale="61" orientation="portrait" r:id="rId1"/>
  <colBreaks count="1" manualBreakCount="1">
    <brk id="15" max="1048575" man="1"/>
  </colBreaks>
  <ignoredErrors>
    <ignoredError sqref="I30:I34 I41 I48 I55 I62" formula="1"/>
    <ignoredError sqref="I35:I40 I42:I47 I49:I54 I56:I61 I63:I67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78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400050</xdr:colOff>
                <xdr:row>3</xdr:row>
                <xdr:rowOff>104775</xdr:rowOff>
              </to>
            </anchor>
          </objectPr>
        </oleObject>
      </mc:Choice>
      <mc:Fallback>
        <oleObject progId="MSPhotoEd.3" shapeId="2457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5" tint="0.59999389629810485"/>
    <pageSetUpPr fitToPage="1"/>
  </sheetPr>
  <dimension ref="B4:Q68"/>
  <sheetViews>
    <sheetView zoomScaleNormal="100" workbookViewId="0">
      <selection activeCell="D2" sqref="D2"/>
    </sheetView>
  </sheetViews>
  <sheetFormatPr defaultColWidth="9.140625" defaultRowHeight="14.25" x14ac:dyDescent="0.2"/>
  <cols>
    <col min="1" max="1" width="9.140625" style="282"/>
    <col min="2" max="2" width="8.140625" style="282" customWidth="1"/>
    <col min="3" max="3" width="7.42578125" style="282" customWidth="1"/>
    <col min="4" max="4" width="17.7109375" style="282" customWidth="1"/>
    <col min="5" max="6" width="15.140625" style="282" customWidth="1"/>
    <col min="7" max="7" width="13.140625" style="282" customWidth="1"/>
    <col min="8" max="16384" width="9.140625" style="282"/>
  </cols>
  <sheetData>
    <row r="4" spans="2:17" ht="15" x14ac:dyDescent="0.25">
      <c r="G4" s="430" t="s">
        <v>340</v>
      </c>
      <c r="H4" s="29"/>
      <c r="I4" s="429"/>
    </row>
    <row r="5" spans="2:17" s="280" customFormat="1" ht="9" customHeight="1" x14ac:dyDescent="0.2">
      <c r="M5" s="154"/>
    </row>
    <row r="6" spans="2:17" s="280" customFormat="1" ht="12.75" x14ac:dyDescent="0.2">
      <c r="Q6" s="154"/>
    </row>
    <row r="7" spans="2:17" s="280" customFormat="1" ht="15.75" x14ac:dyDescent="0.25"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68"/>
      <c r="M7" s="368"/>
      <c r="N7" s="368"/>
      <c r="Q7" s="154"/>
    </row>
    <row r="8" spans="2:17" s="280" customFormat="1" ht="15.75" x14ac:dyDescent="0.25">
      <c r="C8" s="432" t="s">
        <v>345</v>
      </c>
      <c r="D8" s="432"/>
      <c r="E8" s="432"/>
      <c r="F8" s="432"/>
      <c r="G8" s="432"/>
      <c r="H8" s="432"/>
      <c r="I8" s="469"/>
      <c r="J8" s="469"/>
      <c r="K8" s="469"/>
      <c r="L8" s="335"/>
      <c r="M8" s="335"/>
      <c r="N8" s="335"/>
      <c r="Q8" s="154"/>
    </row>
    <row r="9" spans="2:17" s="371" customFormat="1" ht="15" customHeight="1" x14ac:dyDescent="0.25">
      <c r="B9" s="371" t="s">
        <v>208</v>
      </c>
      <c r="C9" s="470" t="s">
        <v>346</v>
      </c>
      <c r="D9" s="470"/>
      <c r="E9" s="470"/>
      <c r="F9" s="470"/>
      <c r="G9" s="470"/>
      <c r="H9" s="470"/>
      <c r="I9" s="471"/>
      <c r="J9" s="471"/>
      <c r="K9" s="471"/>
    </row>
    <row r="10" spans="2:17" s="371" customFormat="1" ht="15" x14ac:dyDescent="0.25">
      <c r="D10" s="472"/>
      <c r="E10" s="472"/>
      <c r="F10" s="472"/>
    </row>
    <row r="11" spans="2:17" s="371" customFormat="1" ht="15" x14ac:dyDescent="0.25">
      <c r="B11" s="280"/>
      <c r="C11" s="280"/>
      <c r="D11" s="280"/>
      <c r="E11" s="280"/>
      <c r="F11" s="280"/>
    </row>
    <row r="12" spans="2:17" x14ac:dyDescent="0.2">
      <c r="D12" s="473" t="s">
        <v>198</v>
      </c>
      <c r="E12" s="474" t="s">
        <v>1</v>
      </c>
      <c r="F12" s="474" t="s">
        <v>240</v>
      </c>
      <c r="G12" s="474" t="s">
        <v>24</v>
      </c>
    </row>
    <row r="13" spans="2:17" x14ac:dyDescent="0.2">
      <c r="D13" s="473" t="s">
        <v>199</v>
      </c>
      <c r="E13" s="475">
        <f>SUM(E16,E17)</f>
        <v>4211</v>
      </c>
      <c r="F13" s="475">
        <f>SUM(F16,F17)</f>
        <v>3766</v>
      </c>
      <c r="G13" s="475">
        <f>SUM(G16,G17)</f>
        <v>7977</v>
      </c>
    </row>
    <row r="14" spans="2:17" x14ac:dyDescent="0.2">
      <c r="D14" s="476" t="s">
        <v>4</v>
      </c>
      <c r="E14" s="475">
        <f>SUM(E21,E28,E35,E42,E49,E56)</f>
        <v>2425</v>
      </c>
      <c r="F14" s="475">
        <f t="shared" ref="F14" si="0">SUM(F21,F28,F35,F42,F49,F56)</f>
        <v>2231</v>
      </c>
      <c r="G14" s="475">
        <f>SUM(G21,G28,G35,G42,G49,G56)</f>
        <v>4656</v>
      </c>
    </row>
    <row r="15" spans="2:17" x14ac:dyDescent="0.2">
      <c r="D15" s="476" t="s">
        <v>5</v>
      </c>
      <c r="E15" s="475">
        <f>SUM(E22,E29,E36,E43,E50,E57)</f>
        <v>1786</v>
      </c>
      <c r="F15" s="475">
        <f t="shared" ref="F15:G15" si="1">SUM(F22,F29,F36,F43,F50,F57)</f>
        <v>1535</v>
      </c>
      <c r="G15" s="475">
        <f t="shared" si="1"/>
        <v>3321</v>
      </c>
    </row>
    <row r="16" spans="2:17" x14ac:dyDescent="0.2">
      <c r="D16" s="476" t="s">
        <v>26</v>
      </c>
      <c r="E16" s="475">
        <f>SUM(E23,E30,E37,E44,E51,E58)</f>
        <v>2015</v>
      </c>
      <c r="F16" s="475">
        <f t="shared" ref="F16:G16" si="2">SUM(F23,F30,F37,F44,F51,F58)</f>
        <v>1884</v>
      </c>
      <c r="G16" s="475">
        <f t="shared" si="2"/>
        <v>3899</v>
      </c>
      <c r="J16" s="477"/>
    </row>
    <row r="17" spans="4:11" ht="15" x14ac:dyDescent="0.25">
      <c r="D17" s="476" t="s">
        <v>25</v>
      </c>
      <c r="E17" s="475">
        <f>SUM(E24,E31,E38,E45,E52,E59)</f>
        <v>2196</v>
      </c>
      <c r="F17" s="475">
        <f t="shared" ref="F17:G17" si="3">SUM(F24,F31,F38,F45,F52,F59)</f>
        <v>1882</v>
      </c>
      <c r="G17" s="475">
        <f t="shared" si="3"/>
        <v>4078</v>
      </c>
      <c r="K17" s="478"/>
    </row>
    <row r="18" spans="4:11" x14ac:dyDescent="0.2">
      <c r="D18" s="420" t="s">
        <v>241</v>
      </c>
      <c r="E18" s="475"/>
      <c r="F18" s="475"/>
      <c r="G18" s="475"/>
    </row>
    <row r="19" spans="4:11" x14ac:dyDescent="0.2">
      <c r="D19" s="473"/>
      <c r="E19" s="479"/>
      <c r="F19" s="479"/>
      <c r="G19" s="479"/>
    </row>
    <row r="20" spans="4:11" x14ac:dyDescent="0.2">
      <c r="D20" s="473" t="s">
        <v>154</v>
      </c>
      <c r="E20" s="480">
        <f>SUM(E23,E24)</f>
        <v>2660</v>
      </c>
      <c r="F20" s="480">
        <f>SUM(F23,F24)</f>
        <v>2733</v>
      </c>
      <c r="G20" s="480">
        <f>SUM(G23,G24)</f>
        <v>5393</v>
      </c>
    </row>
    <row r="21" spans="4:11" x14ac:dyDescent="0.2">
      <c r="D21" s="476" t="s">
        <v>4</v>
      </c>
      <c r="E21" s="479">
        <v>1006</v>
      </c>
      <c r="F21" s="481">
        <v>1309</v>
      </c>
      <c r="G21" s="479">
        <f>SUM(E21:F21)</f>
        <v>2315</v>
      </c>
    </row>
    <row r="22" spans="4:11" x14ac:dyDescent="0.2">
      <c r="D22" s="476" t="s">
        <v>5</v>
      </c>
      <c r="E22" s="479">
        <v>1654</v>
      </c>
      <c r="F22" s="481">
        <v>1424</v>
      </c>
      <c r="G22" s="479">
        <f>SUM(E22:F22)</f>
        <v>3078</v>
      </c>
    </row>
    <row r="23" spans="4:11" x14ac:dyDescent="0.2">
      <c r="D23" s="476" t="s">
        <v>26</v>
      </c>
      <c r="E23" s="479">
        <v>1277</v>
      </c>
      <c r="F23" s="481">
        <v>1370</v>
      </c>
      <c r="G23" s="479">
        <f>SUM(E23:F23)</f>
        <v>2647</v>
      </c>
    </row>
    <row r="24" spans="4:11" x14ac:dyDescent="0.2">
      <c r="D24" s="476" t="s">
        <v>25</v>
      </c>
      <c r="E24" s="479">
        <v>1383</v>
      </c>
      <c r="F24" s="481">
        <v>1363</v>
      </c>
      <c r="G24" s="479">
        <f>SUM(E24:F24)</f>
        <v>2746</v>
      </c>
    </row>
    <row r="25" spans="4:11" x14ac:dyDescent="0.2">
      <c r="D25" s="420" t="s">
        <v>241</v>
      </c>
      <c r="E25" s="479"/>
      <c r="F25" s="479"/>
      <c r="G25" s="479"/>
    </row>
    <row r="26" spans="4:11" x14ac:dyDescent="0.2">
      <c r="D26" s="420"/>
      <c r="E26" s="479"/>
      <c r="F26" s="479"/>
      <c r="G26" s="479"/>
    </row>
    <row r="27" spans="4:11" x14ac:dyDescent="0.2">
      <c r="D27" s="473" t="s">
        <v>155</v>
      </c>
      <c r="E27" s="480">
        <f>SUM(E30,E31)</f>
        <v>614</v>
      </c>
      <c r="F27" s="480">
        <f t="shared" ref="F27:G27" si="4">SUM(F30,F31)</f>
        <v>111</v>
      </c>
      <c r="G27" s="480">
        <f t="shared" si="4"/>
        <v>725</v>
      </c>
    </row>
    <row r="28" spans="4:11" x14ac:dyDescent="0.2">
      <c r="D28" s="476" t="s">
        <v>4</v>
      </c>
      <c r="E28" s="479">
        <v>482</v>
      </c>
      <c r="F28" s="482"/>
      <c r="G28" s="480">
        <f>SUM(E28:F28)</f>
        <v>482</v>
      </c>
    </row>
    <row r="29" spans="4:11" x14ac:dyDescent="0.2">
      <c r="D29" s="476" t="s">
        <v>5</v>
      </c>
      <c r="E29" s="479">
        <v>132</v>
      </c>
      <c r="F29" s="479">
        <v>111</v>
      </c>
      <c r="G29" s="480">
        <f>SUM(E29:F29)</f>
        <v>243</v>
      </c>
    </row>
    <row r="30" spans="4:11" x14ac:dyDescent="0.2">
      <c r="D30" s="476" t="s">
        <v>26</v>
      </c>
      <c r="E30" s="479">
        <v>290</v>
      </c>
      <c r="F30" s="479">
        <v>47</v>
      </c>
      <c r="G30" s="480">
        <f>SUM(E30:F30)</f>
        <v>337</v>
      </c>
    </row>
    <row r="31" spans="4:11" x14ac:dyDescent="0.2">
      <c r="D31" s="476" t="s">
        <v>25</v>
      </c>
      <c r="E31" s="479">
        <v>324</v>
      </c>
      <c r="F31" s="479">
        <v>64</v>
      </c>
      <c r="G31" s="480">
        <f>SUM(E31:F31)</f>
        <v>388</v>
      </c>
    </row>
    <row r="32" spans="4:11" x14ac:dyDescent="0.2">
      <c r="D32" s="420" t="s">
        <v>241</v>
      </c>
      <c r="E32" s="479"/>
      <c r="F32" s="479"/>
      <c r="G32" s="479"/>
    </row>
    <row r="33" spans="4:7" x14ac:dyDescent="0.2">
      <c r="D33" s="420"/>
      <c r="E33" s="479"/>
      <c r="F33" s="479"/>
      <c r="G33" s="479"/>
    </row>
    <row r="34" spans="4:7" x14ac:dyDescent="0.2">
      <c r="D34" s="473" t="s">
        <v>156</v>
      </c>
      <c r="E34" s="480">
        <f>SUM(E37,E38)</f>
        <v>645</v>
      </c>
      <c r="F34" s="480">
        <f t="shared" ref="F34:G34" si="5">SUM(F37,F38)</f>
        <v>0</v>
      </c>
      <c r="G34" s="480">
        <f t="shared" si="5"/>
        <v>645</v>
      </c>
    </row>
    <row r="35" spans="4:7" x14ac:dyDescent="0.2">
      <c r="D35" s="476" t="s">
        <v>4</v>
      </c>
      <c r="E35" s="479">
        <v>645</v>
      </c>
      <c r="F35" s="482"/>
      <c r="G35" s="479">
        <f>SUM(E35:F35)</f>
        <v>645</v>
      </c>
    </row>
    <row r="36" spans="4:7" x14ac:dyDescent="0.2">
      <c r="D36" s="476" t="s">
        <v>5</v>
      </c>
      <c r="E36" s="482"/>
      <c r="F36" s="482"/>
      <c r="G36" s="482"/>
    </row>
    <row r="37" spans="4:7" x14ac:dyDescent="0.2">
      <c r="D37" s="476" t="s">
        <v>26</v>
      </c>
      <c r="E37" s="479">
        <v>315</v>
      </c>
      <c r="F37" s="482"/>
      <c r="G37" s="479">
        <f>SUM(E37:F37)</f>
        <v>315</v>
      </c>
    </row>
    <row r="38" spans="4:7" x14ac:dyDescent="0.2">
      <c r="D38" s="476" t="s">
        <v>25</v>
      </c>
      <c r="E38" s="479">
        <v>330</v>
      </c>
      <c r="F38" s="482"/>
      <c r="G38" s="479">
        <f>SUM(E38:F38)</f>
        <v>330</v>
      </c>
    </row>
    <row r="39" spans="4:7" x14ac:dyDescent="0.2">
      <c r="D39" s="420" t="s">
        <v>241</v>
      </c>
      <c r="E39" s="479"/>
      <c r="F39" s="482"/>
      <c r="G39" s="479"/>
    </row>
    <row r="40" spans="4:7" x14ac:dyDescent="0.2">
      <c r="D40" s="420"/>
      <c r="E40" s="479"/>
      <c r="F40" s="479"/>
      <c r="G40" s="479"/>
    </row>
    <row r="41" spans="4:7" x14ac:dyDescent="0.2">
      <c r="D41" s="473" t="s">
        <v>157</v>
      </c>
      <c r="E41" s="480">
        <f>SUM(E44,E45)</f>
        <v>77</v>
      </c>
      <c r="F41" s="480">
        <f>SUM(F44,F45)</f>
        <v>791</v>
      </c>
      <c r="G41" s="480">
        <f t="shared" ref="G41" si="6">SUM(G44,G45)</f>
        <v>868</v>
      </c>
    </row>
    <row r="42" spans="4:7" x14ac:dyDescent="0.2">
      <c r="D42" s="476" t="s">
        <v>4</v>
      </c>
      <c r="E42" s="475">
        <v>77</v>
      </c>
      <c r="F42" s="479">
        <v>791</v>
      </c>
      <c r="G42" s="475">
        <f>SUM(E42:F42)</f>
        <v>868</v>
      </c>
    </row>
    <row r="43" spans="4:7" x14ac:dyDescent="0.2">
      <c r="D43" s="476" t="s">
        <v>5</v>
      </c>
      <c r="E43" s="482"/>
      <c r="F43" s="482"/>
      <c r="G43" s="482"/>
    </row>
    <row r="44" spans="4:7" x14ac:dyDescent="0.2">
      <c r="D44" s="476" t="s">
        <v>26</v>
      </c>
      <c r="E44" s="479">
        <v>35</v>
      </c>
      <c r="F44" s="479">
        <v>397</v>
      </c>
      <c r="G44" s="479">
        <f>SUM(E44:F44)</f>
        <v>432</v>
      </c>
    </row>
    <row r="45" spans="4:7" x14ac:dyDescent="0.2">
      <c r="D45" s="476" t="s">
        <v>25</v>
      </c>
      <c r="E45" s="479">
        <v>42</v>
      </c>
      <c r="F45" s="479">
        <v>394</v>
      </c>
      <c r="G45" s="479">
        <f>SUM(E45:F45)</f>
        <v>436</v>
      </c>
    </row>
    <row r="46" spans="4:7" x14ac:dyDescent="0.2">
      <c r="D46" s="420" t="s">
        <v>241</v>
      </c>
      <c r="E46" s="479"/>
      <c r="F46" s="479"/>
      <c r="G46" s="479"/>
    </row>
    <row r="47" spans="4:7" x14ac:dyDescent="0.2">
      <c r="D47" s="420"/>
      <c r="E47" s="479"/>
      <c r="F47" s="479"/>
      <c r="G47" s="479"/>
    </row>
    <row r="48" spans="4:7" x14ac:dyDescent="0.2">
      <c r="D48" s="473" t="s">
        <v>158</v>
      </c>
      <c r="E48" s="480">
        <f>SUM(E51:E52)</f>
        <v>76</v>
      </c>
      <c r="F48" s="480">
        <f t="shared" ref="F48:G48" si="7">SUM(F51:F52)</f>
        <v>0</v>
      </c>
      <c r="G48" s="480">
        <f t="shared" si="7"/>
        <v>76</v>
      </c>
    </row>
    <row r="49" spans="3:10" x14ac:dyDescent="0.2">
      <c r="D49" s="476" t="s">
        <v>4</v>
      </c>
      <c r="E49" s="479">
        <v>76</v>
      </c>
      <c r="F49" s="482"/>
      <c r="G49" s="479">
        <f>SUM(E49:F49)</f>
        <v>76</v>
      </c>
    </row>
    <row r="50" spans="3:10" x14ac:dyDescent="0.2">
      <c r="D50" s="476" t="s">
        <v>5</v>
      </c>
      <c r="E50" s="479"/>
      <c r="F50" s="482"/>
      <c r="G50" s="482"/>
    </row>
    <row r="51" spans="3:10" x14ac:dyDescent="0.2">
      <c r="D51" s="476" t="s">
        <v>26</v>
      </c>
      <c r="E51" s="479">
        <v>34</v>
      </c>
      <c r="F51" s="482"/>
      <c r="G51" s="479">
        <f>SUM(E51:F51)</f>
        <v>34</v>
      </c>
    </row>
    <row r="52" spans="3:10" x14ac:dyDescent="0.2">
      <c r="D52" s="476" t="s">
        <v>25</v>
      </c>
      <c r="E52" s="479">
        <v>42</v>
      </c>
      <c r="F52" s="482"/>
      <c r="G52" s="479">
        <f>SUM(E52:F52)</f>
        <v>42</v>
      </c>
    </row>
    <row r="53" spans="3:10" x14ac:dyDescent="0.2">
      <c r="D53" s="420" t="s">
        <v>241</v>
      </c>
      <c r="E53" s="479"/>
      <c r="F53" s="482"/>
      <c r="G53" s="479"/>
    </row>
    <row r="54" spans="3:10" x14ac:dyDescent="0.2">
      <c r="D54" s="420"/>
      <c r="E54" s="479"/>
      <c r="F54" s="479"/>
      <c r="G54" s="479"/>
    </row>
    <row r="55" spans="3:10" x14ac:dyDescent="0.2">
      <c r="D55" s="473" t="s">
        <v>200</v>
      </c>
      <c r="E55" s="480">
        <f>SUM(E58:E59)</f>
        <v>139</v>
      </c>
      <c r="F55" s="480">
        <f t="shared" ref="F55:G55" si="8">SUM(F58:F59)</f>
        <v>131</v>
      </c>
      <c r="G55" s="480">
        <f t="shared" si="8"/>
        <v>270</v>
      </c>
    </row>
    <row r="56" spans="3:10" x14ac:dyDescent="0.2">
      <c r="D56" s="476" t="s">
        <v>4</v>
      </c>
      <c r="E56" s="479">
        <v>139</v>
      </c>
      <c r="F56" s="479">
        <v>131</v>
      </c>
      <c r="G56" s="479">
        <f>SUM(E56:F56)</f>
        <v>270</v>
      </c>
    </row>
    <row r="57" spans="3:10" x14ac:dyDescent="0.2">
      <c r="D57" s="476" t="s">
        <v>5</v>
      </c>
      <c r="E57" s="482"/>
      <c r="F57" s="482"/>
      <c r="G57" s="482"/>
    </row>
    <row r="58" spans="3:10" x14ac:dyDescent="0.2">
      <c r="D58" s="476" t="s">
        <v>26</v>
      </c>
      <c r="E58" s="479">
        <v>64</v>
      </c>
      <c r="F58" s="479">
        <v>70</v>
      </c>
      <c r="G58" s="479">
        <f>SUM(E58:F58)</f>
        <v>134</v>
      </c>
    </row>
    <row r="59" spans="3:10" x14ac:dyDescent="0.2">
      <c r="D59" s="476" t="s">
        <v>25</v>
      </c>
      <c r="E59" s="479">
        <v>75</v>
      </c>
      <c r="F59" s="479">
        <v>61</v>
      </c>
      <c r="G59" s="479">
        <f>SUM(E59:F59)</f>
        <v>136</v>
      </c>
    </row>
    <row r="60" spans="3:10" x14ac:dyDescent="0.2">
      <c r="D60" s="420" t="s">
        <v>241</v>
      </c>
      <c r="E60" s="479"/>
      <c r="F60" s="479"/>
      <c r="G60" s="479"/>
    </row>
    <row r="62" spans="3:10" x14ac:dyDescent="0.2">
      <c r="C62" s="348" t="s">
        <v>118</v>
      </c>
      <c r="D62" s="483"/>
      <c r="E62" s="376"/>
      <c r="F62" s="483"/>
      <c r="G62" s="376"/>
      <c r="H62" s="376"/>
      <c r="I62" s="376"/>
      <c r="J62" s="376"/>
    </row>
    <row r="63" spans="3:10" ht="30" customHeight="1" x14ac:dyDescent="0.2">
      <c r="C63" s="484" t="s">
        <v>203</v>
      </c>
      <c r="D63" s="484"/>
      <c r="E63" s="484"/>
      <c r="F63" s="484"/>
      <c r="G63" s="484"/>
      <c r="H63" s="484"/>
      <c r="I63" s="484"/>
      <c r="J63" s="484"/>
    </row>
    <row r="64" spans="3:10" ht="18" customHeight="1" x14ac:dyDescent="0.2">
      <c r="C64" s="484" t="s">
        <v>221</v>
      </c>
      <c r="D64" s="484"/>
      <c r="E64" s="484"/>
      <c r="F64" s="484"/>
      <c r="G64" s="484"/>
      <c r="H64" s="484"/>
      <c r="I64" s="484"/>
      <c r="J64" s="484"/>
    </row>
    <row r="65" spans="2:10" ht="18" customHeight="1" x14ac:dyDescent="0.2">
      <c r="C65" s="485"/>
      <c r="D65" s="485"/>
      <c r="E65" s="485"/>
      <c r="F65" s="485"/>
      <c r="G65" s="485"/>
      <c r="H65" s="485"/>
      <c r="I65" s="485"/>
      <c r="J65" s="485"/>
    </row>
    <row r="66" spans="2:10" ht="18" customHeight="1" x14ac:dyDescent="0.2">
      <c r="C66" s="486" t="s">
        <v>327</v>
      </c>
      <c r="D66" s="485"/>
      <c r="E66" s="485"/>
      <c r="F66" s="485"/>
      <c r="G66" s="485"/>
      <c r="H66" s="485"/>
      <c r="I66" s="485"/>
      <c r="J66" s="485"/>
    </row>
    <row r="68" spans="2:10" x14ac:dyDescent="0.2">
      <c r="B68" s="387"/>
      <c r="C68" s="387"/>
      <c r="D68" s="387"/>
      <c r="E68" s="387"/>
      <c r="F68" s="387"/>
    </row>
  </sheetData>
  <mergeCells count="4">
    <mergeCell ref="C9:H9"/>
    <mergeCell ref="C63:J63"/>
    <mergeCell ref="C64:J64"/>
    <mergeCell ref="C8:H8"/>
  </mergeCells>
  <phoneticPr fontId="0" type="noConversion"/>
  <pageMargins left="0.7" right="0.7" top="0.75" bottom="0.75" header="0.3" footer="0.3"/>
  <pageSetup scale="69" fitToWidth="0" orientation="portrait" r:id="rId1"/>
  <colBreaks count="2" manualBreakCount="2">
    <brk id="14" max="69" man="1"/>
    <brk id="15" max="69" man="1"/>
  </colBreaks>
  <drawing r:id="rId2"/>
  <legacyDrawing r:id="rId3"/>
  <oleObjects>
    <mc:AlternateContent xmlns:mc="http://schemas.openxmlformats.org/markup-compatibility/2006">
      <mc:Choice Requires="x14">
        <oleObject progId="MSPhotoEd.3" shapeId="23556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2</xdr:col>
                <xdr:colOff>9525</xdr:colOff>
                <xdr:row>3</xdr:row>
                <xdr:rowOff>142875</xdr:rowOff>
              </to>
            </anchor>
          </objectPr>
        </oleObject>
      </mc:Choice>
      <mc:Fallback>
        <oleObject progId="MSPhotoEd.3" shapeId="2355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4:Q60"/>
  <sheetViews>
    <sheetView zoomScaleNormal="100" zoomScaleSheetLayoutView="62" workbookViewId="0">
      <selection activeCell="F2" sqref="F2"/>
    </sheetView>
  </sheetViews>
  <sheetFormatPr defaultColWidth="9.140625" defaultRowHeight="14.25" x14ac:dyDescent="0.2"/>
  <cols>
    <col min="1" max="1" width="9.140625" style="282"/>
    <col min="2" max="3" width="10.7109375" style="282" customWidth="1"/>
    <col min="4" max="10" width="9.140625" style="282"/>
    <col min="11" max="11" width="9.5703125" style="282" bestFit="1" customWidth="1"/>
    <col min="12" max="12" width="9.140625" style="282" customWidth="1"/>
    <col min="13" max="16384" width="9.140625" style="282"/>
  </cols>
  <sheetData>
    <row r="4" spans="2:17" ht="15" x14ac:dyDescent="0.25">
      <c r="H4" s="29"/>
      <c r="I4" s="29"/>
      <c r="J4" s="29"/>
      <c r="K4" s="430" t="s">
        <v>340</v>
      </c>
    </row>
    <row r="5" spans="2:17" s="280" customFormat="1" ht="9" customHeight="1" x14ac:dyDescent="0.2"/>
    <row r="6" spans="2:17" s="280" customFormat="1" ht="12.75" x14ac:dyDescent="0.2">
      <c r="Q6" s="154"/>
    </row>
    <row r="7" spans="2:17" s="280" customFormat="1" ht="15.75" x14ac:dyDescent="0.25"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68"/>
      <c r="M7" s="368"/>
      <c r="N7" s="368"/>
      <c r="Q7" s="154"/>
    </row>
    <row r="8" spans="2:17" s="371" customFormat="1" ht="15" customHeight="1" x14ac:dyDescent="0.25">
      <c r="B8" s="371" t="s">
        <v>348</v>
      </c>
      <c r="C8" s="487" t="s">
        <v>347</v>
      </c>
      <c r="D8" s="282"/>
      <c r="E8" s="282"/>
      <c r="F8" s="282"/>
      <c r="G8" s="282"/>
      <c r="H8" s="282"/>
      <c r="I8" s="282"/>
      <c r="J8" s="282"/>
      <c r="K8" s="282"/>
      <c r="L8" s="282"/>
    </row>
    <row r="9" spans="2:17" s="371" customFormat="1" ht="15" customHeight="1" x14ac:dyDescent="0.25">
      <c r="B9" s="487"/>
      <c r="C9" s="487"/>
      <c r="D9" s="282"/>
      <c r="E9" s="282"/>
      <c r="F9" s="282"/>
      <c r="G9" s="282"/>
      <c r="H9" s="282"/>
      <c r="I9" s="282"/>
      <c r="J9" s="282"/>
      <c r="K9" s="282"/>
      <c r="L9" s="282"/>
    </row>
    <row r="10" spans="2:17" s="371" customFormat="1" ht="15" x14ac:dyDescent="0.25">
      <c r="B10" s="488"/>
      <c r="C10" s="489" t="s">
        <v>24</v>
      </c>
      <c r="D10" s="490"/>
      <c r="E10" s="490"/>
      <c r="F10" s="490"/>
      <c r="G10" s="490"/>
      <c r="H10" s="490"/>
      <c r="I10" s="490"/>
      <c r="J10" s="490"/>
      <c r="K10" s="490"/>
      <c r="L10" s="491"/>
    </row>
    <row r="11" spans="2:17" ht="30" x14ac:dyDescent="0.25">
      <c r="B11" s="427"/>
      <c r="C11" s="492" t="s">
        <v>227</v>
      </c>
      <c r="D11" s="493" t="s">
        <v>312</v>
      </c>
      <c r="E11" s="493" t="s">
        <v>307</v>
      </c>
      <c r="F11" s="493" t="s">
        <v>308</v>
      </c>
      <c r="G11" s="493" t="s">
        <v>309</v>
      </c>
      <c r="H11" s="493" t="s">
        <v>310</v>
      </c>
      <c r="I11" s="493" t="s">
        <v>311</v>
      </c>
      <c r="J11" s="493" t="s">
        <v>298</v>
      </c>
      <c r="K11" s="494" t="s">
        <v>24</v>
      </c>
      <c r="L11" s="381"/>
    </row>
    <row r="12" spans="2:17" ht="15" x14ac:dyDescent="0.25">
      <c r="B12" s="427"/>
      <c r="C12" s="495">
        <v>4</v>
      </c>
      <c r="D12" s="495">
        <f>SUM(D27,D42)</f>
        <v>9</v>
      </c>
      <c r="E12" s="495">
        <f t="shared" ref="E12:K12" si="0">SUM(E27,E42)</f>
        <v>0</v>
      </c>
      <c r="F12" s="495">
        <f t="shared" si="0"/>
        <v>0</v>
      </c>
      <c r="G12" s="495">
        <f t="shared" si="0"/>
        <v>0</v>
      </c>
      <c r="H12" s="495">
        <f t="shared" si="0"/>
        <v>0</v>
      </c>
      <c r="I12" s="495">
        <f t="shared" si="0"/>
        <v>0</v>
      </c>
      <c r="J12" s="495">
        <f t="shared" si="0"/>
        <v>0</v>
      </c>
      <c r="K12" s="496">
        <f t="shared" si="0"/>
        <v>9</v>
      </c>
      <c r="L12" s="381"/>
    </row>
    <row r="13" spans="2:17" ht="15" x14ac:dyDescent="0.25">
      <c r="B13" s="427"/>
      <c r="C13" s="495">
        <v>5</v>
      </c>
      <c r="D13" s="495">
        <f>SUM(D28,D43)</f>
        <v>603</v>
      </c>
      <c r="E13" s="495">
        <f t="shared" ref="E13:K13" si="1">SUM(E28,E43)</f>
        <v>26</v>
      </c>
      <c r="F13" s="495">
        <f t="shared" si="1"/>
        <v>0</v>
      </c>
      <c r="G13" s="495">
        <f t="shared" si="1"/>
        <v>0</v>
      </c>
      <c r="H13" s="495">
        <f t="shared" si="1"/>
        <v>0</v>
      </c>
      <c r="I13" s="495">
        <f t="shared" si="1"/>
        <v>0</v>
      </c>
      <c r="J13" s="495">
        <f t="shared" si="1"/>
        <v>0</v>
      </c>
      <c r="K13" s="496">
        <f t="shared" si="1"/>
        <v>629</v>
      </c>
      <c r="L13" s="381"/>
    </row>
    <row r="14" spans="2:17" ht="15" x14ac:dyDescent="0.25">
      <c r="B14" s="427"/>
      <c r="C14" s="495">
        <v>6</v>
      </c>
      <c r="D14" s="495">
        <f t="shared" ref="D14:K22" si="2">SUM(D29,D44)</f>
        <v>104</v>
      </c>
      <c r="E14" s="495">
        <f t="shared" si="2"/>
        <v>557</v>
      </c>
      <c r="F14" s="495">
        <f t="shared" si="2"/>
        <v>18</v>
      </c>
      <c r="G14" s="495">
        <f t="shared" si="2"/>
        <v>0</v>
      </c>
      <c r="H14" s="495">
        <f t="shared" si="2"/>
        <v>0</v>
      </c>
      <c r="I14" s="495">
        <f t="shared" si="2"/>
        <v>0</v>
      </c>
      <c r="J14" s="495">
        <f t="shared" si="2"/>
        <v>0</v>
      </c>
      <c r="K14" s="496">
        <f t="shared" si="2"/>
        <v>679</v>
      </c>
      <c r="L14" s="381"/>
    </row>
    <row r="15" spans="2:17" ht="15" x14ac:dyDescent="0.25">
      <c r="B15" s="427"/>
      <c r="C15" s="495">
        <v>7</v>
      </c>
      <c r="D15" s="495">
        <f t="shared" si="2"/>
        <v>0</v>
      </c>
      <c r="E15" s="495">
        <f t="shared" si="2"/>
        <v>139</v>
      </c>
      <c r="F15" s="495">
        <f t="shared" si="2"/>
        <v>576</v>
      </c>
      <c r="G15" s="495">
        <f t="shared" si="2"/>
        <v>19</v>
      </c>
      <c r="H15" s="495">
        <f t="shared" si="2"/>
        <v>0</v>
      </c>
      <c r="I15" s="495">
        <f t="shared" si="2"/>
        <v>0</v>
      </c>
      <c r="J15" s="495">
        <f t="shared" si="2"/>
        <v>0</v>
      </c>
      <c r="K15" s="496">
        <f t="shared" si="2"/>
        <v>734</v>
      </c>
      <c r="L15" s="381"/>
    </row>
    <row r="16" spans="2:17" ht="15" x14ac:dyDescent="0.25">
      <c r="B16" s="427"/>
      <c r="C16" s="495">
        <v>8</v>
      </c>
      <c r="D16" s="495">
        <f t="shared" si="2"/>
        <v>0</v>
      </c>
      <c r="E16" s="495">
        <f t="shared" si="2"/>
        <v>6</v>
      </c>
      <c r="F16" s="495">
        <f t="shared" si="2"/>
        <v>145</v>
      </c>
      <c r="G16" s="495">
        <f t="shared" si="2"/>
        <v>548</v>
      </c>
      <c r="H16" s="495">
        <f t="shared" si="2"/>
        <v>21</v>
      </c>
      <c r="I16" s="495">
        <f t="shared" si="2"/>
        <v>0</v>
      </c>
      <c r="J16" s="495">
        <f t="shared" si="2"/>
        <v>0</v>
      </c>
      <c r="K16" s="496">
        <f t="shared" si="2"/>
        <v>720</v>
      </c>
      <c r="L16" s="381"/>
    </row>
    <row r="17" spans="2:12" ht="15" x14ac:dyDescent="0.25">
      <c r="B17" s="427"/>
      <c r="C17" s="495">
        <v>9</v>
      </c>
      <c r="D17" s="495">
        <f t="shared" si="2"/>
        <v>0</v>
      </c>
      <c r="E17" s="495">
        <f t="shared" si="2"/>
        <v>1</v>
      </c>
      <c r="F17" s="495">
        <f t="shared" si="2"/>
        <v>11</v>
      </c>
      <c r="G17" s="495">
        <f t="shared" si="2"/>
        <v>141</v>
      </c>
      <c r="H17" s="495">
        <f t="shared" si="2"/>
        <v>567</v>
      </c>
      <c r="I17" s="495">
        <f t="shared" si="2"/>
        <v>66</v>
      </c>
      <c r="J17" s="495">
        <f t="shared" si="2"/>
        <v>0</v>
      </c>
      <c r="K17" s="496">
        <f t="shared" si="2"/>
        <v>786</v>
      </c>
      <c r="L17" s="381"/>
    </row>
    <row r="18" spans="2:12" ht="15" x14ac:dyDescent="0.25">
      <c r="B18" s="427"/>
      <c r="C18" s="495">
        <v>10</v>
      </c>
      <c r="D18" s="495">
        <f t="shared" si="2"/>
        <v>0</v>
      </c>
      <c r="E18" s="495">
        <f t="shared" si="2"/>
        <v>0</v>
      </c>
      <c r="F18" s="495">
        <f t="shared" si="2"/>
        <v>0</v>
      </c>
      <c r="G18" s="495">
        <f t="shared" si="2"/>
        <v>11</v>
      </c>
      <c r="H18" s="495">
        <f t="shared" si="2"/>
        <v>54</v>
      </c>
      <c r="I18" s="495">
        <f t="shared" si="2"/>
        <v>516</v>
      </c>
      <c r="J18" s="495">
        <f t="shared" si="2"/>
        <v>3</v>
      </c>
      <c r="K18" s="496">
        <f t="shared" si="2"/>
        <v>584</v>
      </c>
      <c r="L18" s="381"/>
    </row>
    <row r="19" spans="2:12" ht="15" x14ac:dyDescent="0.25">
      <c r="B19" s="427"/>
      <c r="C19" s="495">
        <v>11</v>
      </c>
      <c r="D19" s="495">
        <f t="shared" si="2"/>
        <v>0</v>
      </c>
      <c r="E19" s="495">
        <f t="shared" si="2"/>
        <v>0</v>
      </c>
      <c r="F19" s="495">
        <f t="shared" si="2"/>
        <v>0</v>
      </c>
      <c r="G19" s="495">
        <f t="shared" si="2"/>
        <v>0</v>
      </c>
      <c r="H19" s="495">
        <f t="shared" si="2"/>
        <v>0</v>
      </c>
      <c r="I19" s="495">
        <f t="shared" si="2"/>
        <v>52</v>
      </c>
      <c r="J19" s="495">
        <f t="shared" si="2"/>
        <v>15</v>
      </c>
      <c r="K19" s="496">
        <f t="shared" si="2"/>
        <v>67</v>
      </c>
      <c r="L19" s="381"/>
    </row>
    <row r="20" spans="2:12" ht="15" x14ac:dyDescent="0.25">
      <c r="B20" s="427"/>
      <c r="C20" s="495">
        <v>12</v>
      </c>
      <c r="D20" s="495">
        <f t="shared" si="2"/>
        <v>0</v>
      </c>
      <c r="E20" s="495">
        <f t="shared" si="2"/>
        <v>0</v>
      </c>
      <c r="F20" s="495">
        <f t="shared" si="2"/>
        <v>0</v>
      </c>
      <c r="G20" s="495">
        <f t="shared" si="2"/>
        <v>0</v>
      </c>
      <c r="H20" s="495">
        <f t="shared" si="2"/>
        <v>0</v>
      </c>
      <c r="I20" s="495">
        <f t="shared" si="2"/>
        <v>1</v>
      </c>
      <c r="J20" s="495">
        <f t="shared" si="2"/>
        <v>2</v>
      </c>
      <c r="K20" s="496">
        <f t="shared" si="2"/>
        <v>3</v>
      </c>
      <c r="L20" s="381"/>
    </row>
    <row r="21" spans="2:12" ht="15" x14ac:dyDescent="0.25">
      <c r="B21" s="427"/>
      <c r="C21" s="495">
        <v>13</v>
      </c>
      <c r="D21" s="495">
        <f t="shared" si="2"/>
        <v>0</v>
      </c>
      <c r="E21" s="495">
        <f t="shared" si="2"/>
        <v>0</v>
      </c>
      <c r="F21" s="495">
        <f t="shared" si="2"/>
        <v>0</v>
      </c>
      <c r="G21" s="495">
        <f t="shared" si="2"/>
        <v>0</v>
      </c>
      <c r="H21" s="495">
        <f t="shared" si="2"/>
        <v>0</v>
      </c>
      <c r="I21" s="495">
        <f t="shared" si="2"/>
        <v>0</v>
      </c>
      <c r="J21" s="495">
        <f t="shared" si="2"/>
        <v>0</v>
      </c>
      <c r="K21" s="495">
        <f t="shared" si="2"/>
        <v>0</v>
      </c>
      <c r="L21" s="381"/>
    </row>
    <row r="22" spans="2:12" ht="15" x14ac:dyDescent="0.25">
      <c r="B22" s="427"/>
      <c r="C22" s="495">
        <v>14</v>
      </c>
      <c r="D22" s="495">
        <f t="shared" si="2"/>
        <v>0</v>
      </c>
      <c r="E22" s="495">
        <f t="shared" si="2"/>
        <v>0</v>
      </c>
      <c r="F22" s="495">
        <f t="shared" si="2"/>
        <v>0</v>
      </c>
      <c r="G22" s="495">
        <f t="shared" si="2"/>
        <v>0</v>
      </c>
      <c r="H22" s="495">
        <f t="shared" si="2"/>
        <v>0</v>
      </c>
      <c r="I22" s="495">
        <f t="shared" si="2"/>
        <v>0</v>
      </c>
      <c r="J22" s="495">
        <f t="shared" si="2"/>
        <v>0</v>
      </c>
      <c r="K22" s="495">
        <f t="shared" si="2"/>
        <v>0</v>
      </c>
      <c r="L22" s="381"/>
    </row>
    <row r="23" spans="2:12" ht="15" x14ac:dyDescent="0.25">
      <c r="B23" s="427"/>
      <c r="C23" s="496" t="s">
        <v>24</v>
      </c>
      <c r="D23" s="496">
        <f>SUM(D12:D22)</f>
        <v>716</v>
      </c>
      <c r="E23" s="496">
        <f t="shared" ref="E23:K23" si="3">SUM(E12:E22)</f>
        <v>729</v>
      </c>
      <c r="F23" s="496">
        <f t="shared" si="3"/>
        <v>750</v>
      </c>
      <c r="G23" s="496">
        <f t="shared" si="3"/>
        <v>719</v>
      </c>
      <c r="H23" s="496">
        <f t="shared" si="3"/>
        <v>642</v>
      </c>
      <c r="I23" s="496">
        <f t="shared" si="3"/>
        <v>635</v>
      </c>
      <c r="J23" s="496">
        <f t="shared" si="3"/>
        <v>20</v>
      </c>
      <c r="K23" s="496">
        <f t="shared" si="3"/>
        <v>4211</v>
      </c>
      <c r="L23" s="381"/>
    </row>
    <row r="24" spans="2:12" ht="15" x14ac:dyDescent="0.25">
      <c r="B24" s="427"/>
      <c r="C24" s="497"/>
      <c r="D24" s="497"/>
      <c r="E24" s="497"/>
      <c r="F24" s="497"/>
      <c r="G24" s="497"/>
      <c r="H24" s="497"/>
      <c r="I24" s="497"/>
      <c r="J24" s="497"/>
      <c r="K24" s="498"/>
      <c r="L24" s="381"/>
    </row>
    <row r="25" spans="2:12" ht="15" x14ac:dyDescent="0.25">
      <c r="B25" s="427"/>
      <c r="C25" s="499" t="s">
        <v>26</v>
      </c>
      <c r="D25" s="490"/>
      <c r="E25" s="490"/>
      <c r="F25" s="490"/>
      <c r="G25" s="490"/>
      <c r="H25" s="490"/>
      <c r="I25" s="490"/>
      <c r="J25" s="490"/>
      <c r="K25" s="500"/>
      <c r="L25" s="381"/>
    </row>
    <row r="26" spans="2:12" ht="30" x14ac:dyDescent="0.25">
      <c r="B26" s="427"/>
      <c r="C26" s="492" t="s">
        <v>227</v>
      </c>
      <c r="D26" s="493" t="s">
        <v>312</v>
      </c>
      <c r="E26" s="493" t="s">
        <v>307</v>
      </c>
      <c r="F26" s="493" t="s">
        <v>308</v>
      </c>
      <c r="G26" s="493" t="s">
        <v>309</v>
      </c>
      <c r="H26" s="493" t="s">
        <v>310</v>
      </c>
      <c r="I26" s="493" t="s">
        <v>311</v>
      </c>
      <c r="J26" s="493" t="s">
        <v>298</v>
      </c>
      <c r="K26" s="494" t="s">
        <v>24</v>
      </c>
      <c r="L26" s="381"/>
    </row>
    <row r="27" spans="2:12" ht="15" x14ac:dyDescent="0.25">
      <c r="B27" s="427"/>
      <c r="C27" s="495">
        <v>4</v>
      </c>
      <c r="D27" s="495">
        <v>7</v>
      </c>
      <c r="E27" s="495"/>
      <c r="F27" s="495"/>
      <c r="G27" s="495"/>
      <c r="H27" s="495"/>
      <c r="I27" s="495"/>
      <c r="J27" s="495"/>
      <c r="K27" s="496">
        <f t="shared" ref="K27:K35" si="4">SUM(D27:J27)</f>
        <v>7</v>
      </c>
      <c r="L27" s="381"/>
    </row>
    <row r="28" spans="2:12" ht="15" x14ac:dyDescent="0.25">
      <c r="B28" s="427"/>
      <c r="C28" s="495">
        <v>5</v>
      </c>
      <c r="D28" s="495">
        <v>294</v>
      </c>
      <c r="E28" s="495">
        <v>11</v>
      </c>
      <c r="F28" s="495"/>
      <c r="G28" s="495"/>
      <c r="H28" s="495"/>
      <c r="I28" s="495"/>
      <c r="J28" s="495"/>
      <c r="K28" s="496">
        <f t="shared" si="4"/>
        <v>305</v>
      </c>
      <c r="L28" s="381"/>
    </row>
    <row r="29" spans="2:12" ht="15" x14ac:dyDescent="0.25">
      <c r="B29" s="427"/>
      <c r="C29" s="495">
        <v>6</v>
      </c>
      <c r="D29" s="495">
        <v>44</v>
      </c>
      <c r="E29" s="495">
        <v>265</v>
      </c>
      <c r="F29" s="495">
        <v>12</v>
      </c>
      <c r="G29" s="495"/>
      <c r="H29" s="495"/>
      <c r="I29" s="495"/>
      <c r="J29" s="495"/>
      <c r="K29" s="496">
        <f t="shared" si="4"/>
        <v>321</v>
      </c>
      <c r="L29" s="381"/>
    </row>
    <row r="30" spans="2:12" ht="15" x14ac:dyDescent="0.25">
      <c r="B30" s="427"/>
      <c r="C30" s="495">
        <v>7</v>
      </c>
      <c r="D30" s="495"/>
      <c r="E30" s="495">
        <v>52</v>
      </c>
      <c r="F30" s="495">
        <v>298</v>
      </c>
      <c r="G30" s="495">
        <v>13</v>
      </c>
      <c r="H30" s="495"/>
      <c r="I30" s="495"/>
      <c r="J30" s="495"/>
      <c r="K30" s="496">
        <f t="shared" si="4"/>
        <v>363</v>
      </c>
      <c r="L30" s="381"/>
    </row>
    <row r="31" spans="2:12" ht="15" x14ac:dyDescent="0.25">
      <c r="B31" s="427"/>
      <c r="C31" s="495">
        <v>8</v>
      </c>
      <c r="D31" s="495"/>
      <c r="E31" s="495">
        <v>3</v>
      </c>
      <c r="F31" s="495">
        <v>54</v>
      </c>
      <c r="G31" s="495">
        <v>265</v>
      </c>
      <c r="H31" s="495">
        <v>14</v>
      </c>
      <c r="I31" s="495"/>
      <c r="J31" s="495"/>
      <c r="K31" s="496">
        <f t="shared" si="4"/>
        <v>336</v>
      </c>
      <c r="L31" s="381"/>
    </row>
    <row r="32" spans="2:12" ht="15" x14ac:dyDescent="0.25">
      <c r="B32" s="427"/>
      <c r="C32" s="495">
        <v>9</v>
      </c>
      <c r="D32" s="495"/>
      <c r="E32" s="495">
        <v>1</v>
      </c>
      <c r="F32" s="495">
        <v>4</v>
      </c>
      <c r="G32" s="495">
        <v>60</v>
      </c>
      <c r="H32" s="495">
        <v>270</v>
      </c>
      <c r="I32" s="495">
        <v>33</v>
      </c>
      <c r="J32" s="495"/>
      <c r="K32" s="496">
        <f t="shared" si="4"/>
        <v>368</v>
      </c>
      <c r="L32" s="381"/>
    </row>
    <row r="33" spans="2:12" ht="15" x14ac:dyDescent="0.25">
      <c r="B33" s="427"/>
      <c r="C33" s="495">
        <v>10</v>
      </c>
      <c r="D33" s="495"/>
      <c r="E33" s="495"/>
      <c r="F33" s="495"/>
      <c r="G33" s="495">
        <v>5</v>
      </c>
      <c r="H33" s="495">
        <v>17</v>
      </c>
      <c r="I33" s="495">
        <v>267</v>
      </c>
      <c r="J33" s="495"/>
      <c r="K33" s="496">
        <f t="shared" si="4"/>
        <v>289</v>
      </c>
      <c r="L33" s="381"/>
    </row>
    <row r="34" spans="2:12" ht="15" x14ac:dyDescent="0.25">
      <c r="B34" s="427"/>
      <c r="C34" s="495">
        <v>11</v>
      </c>
      <c r="D34" s="495"/>
      <c r="E34" s="495"/>
      <c r="F34" s="495"/>
      <c r="G34" s="495"/>
      <c r="H34" s="495"/>
      <c r="I34" s="495">
        <v>17</v>
      </c>
      <c r="J34" s="495">
        <v>7</v>
      </c>
      <c r="K34" s="496">
        <f t="shared" si="4"/>
        <v>24</v>
      </c>
      <c r="L34" s="381"/>
    </row>
    <row r="35" spans="2:12" ht="15" x14ac:dyDescent="0.25">
      <c r="B35" s="427"/>
      <c r="C35" s="495">
        <v>12</v>
      </c>
      <c r="D35" s="495"/>
      <c r="E35" s="495"/>
      <c r="F35" s="495"/>
      <c r="G35" s="495"/>
      <c r="H35" s="495"/>
      <c r="I35" s="495"/>
      <c r="J35" s="495">
        <v>2</v>
      </c>
      <c r="K35" s="496">
        <f t="shared" si="4"/>
        <v>2</v>
      </c>
      <c r="L35" s="381"/>
    </row>
    <row r="36" spans="2:12" ht="15" x14ac:dyDescent="0.25">
      <c r="B36" s="427"/>
      <c r="C36" s="495">
        <v>13</v>
      </c>
      <c r="D36" s="495"/>
      <c r="E36" s="495"/>
      <c r="F36" s="495"/>
      <c r="G36" s="495"/>
      <c r="H36" s="495"/>
      <c r="I36" s="495"/>
      <c r="J36" s="495"/>
      <c r="K36" s="496"/>
      <c r="L36" s="381"/>
    </row>
    <row r="37" spans="2:12" ht="15" x14ac:dyDescent="0.25">
      <c r="B37" s="427"/>
      <c r="C37" s="495">
        <v>14</v>
      </c>
      <c r="D37" s="495"/>
      <c r="E37" s="495"/>
      <c r="F37" s="495"/>
      <c r="G37" s="495"/>
      <c r="H37" s="495"/>
      <c r="I37" s="495"/>
      <c r="J37" s="495"/>
      <c r="K37" s="496"/>
      <c r="L37" s="381"/>
    </row>
    <row r="38" spans="2:12" ht="15" x14ac:dyDescent="0.25">
      <c r="B38" s="427"/>
      <c r="C38" s="496" t="s">
        <v>24</v>
      </c>
      <c r="D38" s="496">
        <f>SUM(D27:D37)</f>
        <v>345</v>
      </c>
      <c r="E38" s="496">
        <f>SUM(E27:E37)</f>
        <v>332</v>
      </c>
      <c r="F38" s="496">
        <f t="shared" ref="F38:K38" si="5">SUM(F27:F37)</f>
        <v>368</v>
      </c>
      <c r="G38" s="496">
        <f t="shared" si="5"/>
        <v>343</v>
      </c>
      <c r="H38" s="496">
        <f t="shared" si="5"/>
        <v>301</v>
      </c>
      <c r="I38" s="496">
        <f t="shared" si="5"/>
        <v>317</v>
      </c>
      <c r="J38" s="496">
        <f t="shared" si="5"/>
        <v>9</v>
      </c>
      <c r="K38" s="496">
        <f t="shared" si="5"/>
        <v>2015</v>
      </c>
      <c r="L38" s="501"/>
    </row>
    <row r="39" spans="2:12" ht="15" x14ac:dyDescent="0.25">
      <c r="B39" s="427"/>
      <c r="C39" s="498"/>
      <c r="D39" s="498"/>
      <c r="E39" s="498"/>
      <c r="F39" s="498"/>
      <c r="G39" s="498"/>
      <c r="H39" s="498"/>
      <c r="I39" s="498"/>
      <c r="J39" s="498"/>
      <c r="K39" s="498"/>
      <c r="L39" s="381"/>
    </row>
    <row r="40" spans="2:12" ht="15" x14ac:dyDescent="0.25">
      <c r="B40" s="427"/>
      <c r="C40" s="489" t="s">
        <v>25</v>
      </c>
      <c r="D40" s="490"/>
      <c r="E40" s="490"/>
      <c r="F40" s="490"/>
      <c r="G40" s="490"/>
      <c r="H40" s="490"/>
      <c r="I40" s="490"/>
      <c r="J40" s="490"/>
      <c r="K40" s="500"/>
      <c r="L40" s="381"/>
    </row>
    <row r="41" spans="2:12" ht="30" x14ac:dyDescent="0.25">
      <c r="B41" s="427"/>
      <c r="C41" s="492" t="s">
        <v>227</v>
      </c>
      <c r="D41" s="493" t="s">
        <v>312</v>
      </c>
      <c r="E41" s="493" t="s">
        <v>307</v>
      </c>
      <c r="F41" s="493" t="s">
        <v>308</v>
      </c>
      <c r="G41" s="493" t="s">
        <v>309</v>
      </c>
      <c r="H41" s="493" t="s">
        <v>310</v>
      </c>
      <c r="I41" s="493" t="s">
        <v>311</v>
      </c>
      <c r="J41" s="493" t="s">
        <v>298</v>
      </c>
      <c r="K41" s="494" t="s">
        <v>24</v>
      </c>
      <c r="L41" s="381"/>
    </row>
    <row r="42" spans="2:12" ht="15" x14ac:dyDescent="0.25">
      <c r="B42" s="427"/>
      <c r="C42" s="495">
        <v>4</v>
      </c>
      <c r="D42" s="495">
        <v>2</v>
      </c>
      <c r="E42" s="495"/>
      <c r="F42" s="495"/>
      <c r="G42" s="495"/>
      <c r="H42" s="495"/>
      <c r="I42" s="495"/>
      <c r="J42" s="495"/>
      <c r="K42" s="496">
        <f t="shared" ref="K42:K50" si="6">SUM(D42:J42)</f>
        <v>2</v>
      </c>
      <c r="L42" s="381"/>
    </row>
    <row r="43" spans="2:12" ht="15" x14ac:dyDescent="0.25">
      <c r="B43" s="427"/>
      <c r="C43" s="495">
        <v>5</v>
      </c>
      <c r="D43" s="495">
        <v>309</v>
      </c>
      <c r="E43" s="495">
        <v>15</v>
      </c>
      <c r="F43" s="495"/>
      <c r="G43" s="495"/>
      <c r="H43" s="495"/>
      <c r="I43" s="495"/>
      <c r="J43" s="495"/>
      <c r="K43" s="496">
        <f t="shared" si="6"/>
        <v>324</v>
      </c>
      <c r="L43" s="502"/>
    </row>
    <row r="44" spans="2:12" ht="15" x14ac:dyDescent="0.25">
      <c r="B44" s="427"/>
      <c r="C44" s="495">
        <v>6</v>
      </c>
      <c r="D44" s="495">
        <v>60</v>
      </c>
      <c r="E44" s="495">
        <v>292</v>
      </c>
      <c r="F44" s="495">
        <v>6</v>
      </c>
      <c r="G44" s="495"/>
      <c r="H44" s="495"/>
      <c r="I44" s="495"/>
      <c r="J44" s="495"/>
      <c r="K44" s="496">
        <f t="shared" si="6"/>
        <v>358</v>
      </c>
      <c r="L44" s="502"/>
    </row>
    <row r="45" spans="2:12" ht="15" x14ac:dyDescent="0.25">
      <c r="B45" s="427"/>
      <c r="C45" s="495">
        <v>7</v>
      </c>
      <c r="D45" s="495"/>
      <c r="E45" s="495">
        <v>87</v>
      </c>
      <c r="F45" s="495">
        <v>278</v>
      </c>
      <c r="G45" s="495">
        <v>6</v>
      </c>
      <c r="H45" s="495"/>
      <c r="I45" s="495"/>
      <c r="J45" s="495"/>
      <c r="K45" s="496">
        <f t="shared" si="6"/>
        <v>371</v>
      </c>
      <c r="L45" s="427"/>
    </row>
    <row r="46" spans="2:12" s="371" customFormat="1" ht="15" customHeight="1" x14ac:dyDescent="0.25">
      <c r="B46" s="503"/>
      <c r="C46" s="495">
        <v>8</v>
      </c>
      <c r="D46" s="495"/>
      <c r="E46" s="495">
        <v>3</v>
      </c>
      <c r="F46" s="495">
        <v>91</v>
      </c>
      <c r="G46" s="495">
        <v>283</v>
      </c>
      <c r="H46" s="495">
        <v>7</v>
      </c>
      <c r="I46" s="495"/>
      <c r="J46" s="495"/>
      <c r="K46" s="496">
        <f t="shared" si="6"/>
        <v>384</v>
      </c>
      <c r="L46" s="427"/>
    </row>
    <row r="47" spans="2:12" s="371" customFormat="1" ht="15" customHeight="1" x14ac:dyDescent="0.25">
      <c r="B47" s="503"/>
      <c r="C47" s="495">
        <v>9</v>
      </c>
      <c r="D47" s="495"/>
      <c r="E47" s="495"/>
      <c r="F47" s="495">
        <v>7</v>
      </c>
      <c r="G47" s="495">
        <v>81</v>
      </c>
      <c r="H47" s="495">
        <v>297</v>
      </c>
      <c r="I47" s="495">
        <v>33</v>
      </c>
      <c r="J47" s="495"/>
      <c r="K47" s="496">
        <f t="shared" si="6"/>
        <v>418</v>
      </c>
      <c r="L47" s="427"/>
    </row>
    <row r="48" spans="2:12" s="371" customFormat="1" ht="15" x14ac:dyDescent="0.25">
      <c r="B48" s="488"/>
      <c r="C48" s="495">
        <v>10</v>
      </c>
      <c r="D48" s="495"/>
      <c r="E48" s="495"/>
      <c r="F48" s="495"/>
      <c r="G48" s="495">
        <v>6</v>
      </c>
      <c r="H48" s="495">
        <v>37</v>
      </c>
      <c r="I48" s="495">
        <v>249</v>
      </c>
      <c r="J48" s="495">
        <v>3</v>
      </c>
      <c r="K48" s="496">
        <f t="shared" si="6"/>
        <v>295</v>
      </c>
      <c r="L48" s="504"/>
    </row>
    <row r="49" spans="2:12" s="371" customFormat="1" ht="15" x14ac:dyDescent="0.25">
      <c r="B49" s="488"/>
      <c r="C49" s="495">
        <v>11</v>
      </c>
      <c r="D49" s="495"/>
      <c r="E49" s="495"/>
      <c r="F49" s="495"/>
      <c r="G49" s="495"/>
      <c r="H49" s="495"/>
      <c r="I49" s="495">
        <v>35</v>
      </c>
      <c r="J49" s="495">
        <v>8</v>
      </c>
      <c r="K49" s="496">
        <f t="shared" si="6"/>
        <v>43</v>
      </c>
      <c r="L49" s="491"/>
    </row>
    <row r="50" spans="2:12" ht="15" x14ac:dyDescent="0.25">
      <c r="B50" s="427"/>
      <c r="C50" s="495">
        <v>12</v>
      </c>
      <c r="D50" s="495"/>
      <c r="E50" s="495"/>
      <c r="F50" s="495"/>
      <c r="G50" s="495"/>
      <c r="H50" s="495"/>
      <c r="I50" s="495">
        <v>1</v>
      </c>
      <c r="J50" s="495"/>
      <c r="K50" s="496">
        <f t="shared" si="6"/>
        <v>1</v>
      </c>
      <c r="L50" s="381"/>
    </row>
    <row r="51" spans="2:12" ht="15" x14ac:dyDescent="0.25">
      <c r="B51" s="427"/>
      <c r="C51" s="495">
        <v>13</v>
      </c>
      <c r="D51" s="495"/>
      <c r="E51" s="495"/>
      <c r="F51" s="495"/>
      <c r="G51" s="495"/>
      <c r="H51" s="495"/>
      <c r="I51" s="495"/>
      <c r="J51" s="495"/>
      <c r="K51" s="496"/>
      <c r="L51" s="381"/>
    </row>
    <row r="52" spans="2:12" ht="15" x14ac:dyDescent="0.25">
      <c r="B52" s="427"/>
      <c r="C52" s="495">
        <v>14</v>
      </c>
      <c r="D52" s="495"/>
      <c r="E52" s="495"/>
      <c r="F52" s="495"/>
      <c r="G52" s="495"/>
      <c r="H52" s="495"/>
      <c r="I52" s="495"/>
      <c r="J52" s="495"/>
      <c r="K52" s="496"/>
      <c r="L52" s="381"/>
    </row>
    <row r="53" spans="2:12" x14ac:dyDescent="0.2">
      <c r="B53" s="427"/>
      <c r="C53" s="422" t="s">
        <v>24</v>
      </c>
      <c r="D53" s="422">
        <f>SUM(D42:D52)</f>
        <v>371</v>
      </c>
      <c r="E53" s="422">
        <f>SUM(E42:E52)</f>
        <v>397</v>
      </c>
      <c r="F53" s="422">
        <f t="shared" ref="F53:K53" si="7">SUM(F42:F52)</f>
        <v>382</v>
      </c>
      <c r="G53" s="422">
        <f t="shared" si="7"/>
        <v>376</v>
      </c>
      <c r="H53" s="422">
        <f t="shared" si="7"/>
        <v>341</v>
      </c>
      <c r="I53" s="422">
        <f t="shared" si="7"/>
        <v>318</v>
      </c>
      <c r="J53" s="422">
        <f t="shared" si="7"/>
        <v>11</v>
      </c>
      <c r="K53" s="422">
        <f t="shared" si="7"/>
        <v>2196</v>
      </c>
      <c r="L53" s="502"/>
    </row>
    <row r="54" spans="2:12" x14ac:dyDescent="0.2">
      <c r="B54" s="427"/>
      <c r="C54" s="381"/>
      <c r="D54" s="381"/>
      <c r="E54" s="502"/>
      <c r="F54" s="381"/>
      <c r="G54" s="381"/>
      <c r="H54" s="502"/>
      <c r="I54" s="381"/>
      <c r="J54" s="381"/>
      <c r="K54" s="381"/>
      <c r="L54" s="502"/>
    </row>
    <row r="55" spans="2:12" x14ac:dyDescent="0.2">
      <c r="C55" s="348" t="s">
        <v>187</v>
      </c>
      <c r="D55" s="376"/>
      <c r="L55" s="385"/>
    </row>
    <row r="56" spans="2:12" x14ac:dyDescent="0.2">
      <c r="B56" s="386"/>
      <c r="C56" s="386"/>
      <c r="L56" s="386"/>
    </row>
    <row r="57" spans="2:12" ht="44.25" customHeight="1" x14ac:dyDescent="0.2">
      <c r="B57" s="386"/>
      <c r="C57" s="505" t="s">
        <v>306</v>
      </c>
      <c r="D57" s="505"/>
      <c r="E57" s="505"/>
      <c r="F57" s="505"/>
      <c r="G57" s="505"/>
      <c r="H57" s="505"/>
      <c r="I57" s="505"/>
      <c r="J57" s="505"/>
      <c r="K57" s="505"/>
      <c r="L57" s="386"/>
    </row>
    <row r="58" spans="2:12" ht="13.5" customHeight="1" x14ac:dyDescent="0.2">
      <c r="B58" s="386"/>
      <c r="C58" s="508"/>
      <c r="D58" s="508"/>
      <c r="E58" s="508"/>
      <c r="F58" s="508"/>
      <c r="G58" s="508"/>
      <c r="H58" s="508"/>
      <c r="I58" s="508"/>
      <c r="J58" s="508"/>
      <c r="K58" s="508"/>
      <c r="L58" s="386"/>
    </row>
    <row r="59" spans="2:12" x14ac:dyDescent="0.2"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</row>
    <row r="60" spans="2:12" x14ac:dyDescent="0.2">
      <c r="B60" s="506"/>
      <c r="C60" s="507"/>
      <c r="D60" s="507"/>
      <c r="E60" s="507"/>
      <c r="F60" s="507"/>
      <c r="G60" s="507"/>
      <c r="H60" s="507"/>
      <c r="I60" s="507"/>
      <c r="J60" s="507"/>
      <c r="K60" s="507"/>
      <c r="L60" s="506"/>
    </row>
  </sheetData>
  <mergeCells count="2">
    <mergeCell ref="C57:K57"/>
    <mergeCell ref="C60:K60"/>
  </mergeCells>
  <pageMargins left="0.7" right="0.7" top="0.75" bottom="0.75" header="0.3" footer="0.3"/>
  <pageSetup scale="61" orientation="portrait" r:id="rId1"/>
  <ignoredErrors>
    <ignoredError sqref="K27:K35 K42:K50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686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2</xdr:row>
                <xdr:rowOff>161925</xdr:rowOff>
              </to>
            </anchor>
          </objectPr>
        </oleObject>
      </mc:Choice>
      <mc:Fallback>
        <oleObject progId="MSPhotoEd.3" shapeId="3686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C6" sqref="C6"/>
    </sheetView>
  </sheetViews>
  <sheetFormatPr defaultRowHeight="12.75" x14ac:dyDescent="0.2"/>
  <cols>
    <col min="1" max="10" width="9.140625" style="29"/>
    <col min="11" max="11" width="15.140625" style="29" customWidth="1"/>
    <col min="12" max="16384" width="9.140625" style="29"/>
  </cols>
  <sheetData>
    <row r="1" spans="1:12" ht="14.25" x14ac:dyDescent="0.2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4.25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2" ht="14.25" x14ac:dyDescent="0.2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4" spans="1:12" ht="15" x14ac:dyDescent="0.25">
      <c r="A4" s="282"/>
      <c r="B4" s="282"/>
      <c r="C4" s="282"/>
      <c r="D4" s="282"/>
      <c r="E4" s="282"/>
      <c r="F4" s="282"/>
      <c r="G4" s="282"/>
      <c r="H4" s="282"/>
      <c r="K4" s="430" t="s">
        <v>340</v>
      </c>
    </row>
    <row r="5" spans="1:12" x14ac:dyDescent="0.2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</row>
    <row r="6" spans="1:12" x14ac:dyDescent="0.2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</row>
    <row r="7" spans="1:12" ht="15.75" x14ac:dyDescent="0.25">
      <c r="A7" s="335"/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68"/>
    </row>
    <row r="8" spans="1:12" ht="15" x14ac:dyDescent="0.25">
      <c r="B8" s="510" t="s">
        <v>349</v>
      </c>
      <c r="C8" s="509" t="s">
        <v>350</v>
      </c>
      <c r="D8" s="509"/>
      <c r="E8" s="509"/>
      <c r="F8" s="509"/>
      <c r="G8" s="509"/>
      <c r="H8" s="509"/>
      <c r="I8" s="509"/>
      <c r="J8" s="509"/>
      <c r="K8" s="509"/>
      <c r="L8" s="510"/>
    </row>
    <row r="9" spans="1:12" ht="15" x14ac:dyDescent="0.25">
      <c r="A9" s="487"/>
      <c r="B9" s="487"/>
      <c r="C9" s="487"/>
      <c r="D9" s="282"/>
      <c r="E9" s="282"/>
      <c r="F9" s="282"/>
      <c r="G9" s="282"/>
      <c r="H9" s="282"/>
      <c r="I9" s="282"/>
      <c r="J9" s="282"/>
      <c r="K9" s="282"/>
      <c r="L9" s="282"/>
    </row>
    <row r="10" spans="1:12" ht="15" x14ac:dyDescent="0.25">
      <c r="A10" s="488"/>
      <c r="B10" s="488"/>
      <c r="C10" s="489" t="s">
        <v>24</v>
      </c>
      <c r="D10" s="490"/>
      <c r="E10" s="490"/>
      <c r="F10" s="490"/>
      <c r="G10" s="490"/>
      <c r="H10" s="490"/>
      <c r="I10" s="490"/>
      <c r="J10" s="490"/>
      <c r="K10" s="490"/>
      <c r="L10" s="491"/>
    </row>
    <row r="11" spans="1:12" ht="15" x14ac:dyDescent="0.25">
      <c r="A11" s="427"/>
      <c r="B11" s="427"/>
      <c r="C11" s="492" t="s">
        <v>243</v>
      </c>
      <c r="D11" s="494" t="s">
        <v>244</v>
      </c>
      <c r="E11" s="494" t="s">
        <v>245</v>
      </c>
      <c r="F11" s="494" t="s">
        <v>246</v>
      </c>
      <c r="G11" s="494" t="s">
        <v>247</v>
      </c>
      <c r="H11" s="494" t="s">
        <v>248</v>
      </c>
      <c r="I11" s="494" t="s">
        <v>249</v>
      </c>
      <c r="J11" s="494" t="s">
        <v>250</v>
      </c>
      <c r="K11" s="494" t="s">
        <v>24</v>
      </c>
      <c r="L11" s="381"/>
    </row>
    <row r="12" spans="1:12" ht="15" x14ac:dyDescent="0.25">
      <c r="A12" s="427"/>
      <c r="B12" s="427"/>
      <c r="C12" s="495">
        <v>10</v>
      </c>
      <c r="D12" s="495">
        <f>SUM(D38,D25)</f>
        <v>134</v>
      </c>
      <c r="E12" s="495"/>
      <c r="F12" s="495"/>
      <c r="G12" s="495"/>
      <c r="H12" s="495"/>
      <c r="I12" s="495"/>
      <c r="J12" s="495"/>
      <c r="K12" s="496">
        <f>SUM(K38,K25)</f>
        <v>134</v>
      </c>
      <c r="L12" s="381"/>
    </row>
    <row r="13" spans="1:12" ht="15" x14ac:dyDescent="0.25">
      <c r="A13" s="427"/>
      <c r="B13" s="427"/>
      <c r="C13" s="495">
        <v>11</v>
      </c>
      <c r="D13" s="495">
        <f>SUM(D39,D26)</f>
        <v>459</v>
      </c>
      <c r="E13" s="495">
        <f>SUM(E39,E26)</f>
        <v>144</v>
      </c>
      <c r="F13" s="495"/>
      <c r="G13" s="495"/>
      <c r="H13" s="495"/>
      <c r="I13" s="495"/>
      <c r="J13" s="495"/>
      <c r="K13" s="496">
        <f>SUM(K39,K26)</f>
        <v>603</v>
      </c>
      <c r="L13" s="381"/>
    </row>
    <row r="14" spans="1:12" ht="15" x14ac:dyDescent="0.25">
      <c r="A14" s="427"/>
      <c r="B14" s="427"/>
      <c r="C14" s="495">
        <v>12</v>
      </c>
      <c r="D14" s="495">
        <f>SUM(D40,D27)</f>
        <v>77</v>
      </c>
      <c r="E14" s="495">
        <f>SUM(E40,E27)</f>
        <v>473</v>
      </c>
      <c r="F14" s="495">
        <f>SUM(F40,F27)</f>
        <v>106</v>
      </c>
      <c r="G14" s="495"/>
      <c r="H14" s="495"/>
      <c r="I14" s="495"/>
      <c r="J14" s="495"/>
      <c r="K14" s="496">
        <f>SUM(K40,K27)</f>
        <v>656</v>
      </c>
      <c r="L14" s="381"/>
    </row>
    <row r="15" spans="1:12" ht="15" x14ac:dyDescent="0.25">
      <c r="A15" s="427"/>
      <c r="B15" s="427"/>
      <c r="C15" s="495">
        <v>13</v>
      </c>
      <c r="D15" s="495">
        <f>SUM(D41,D28)</f>
        <v>7</v>
      </c>
      <c r="E15" s="495">
        <f>SUM(E41,E28)</f>
        <v>67</v>
      </c>
      <c r="F15" s="495">
        <f>SUM(F41,F28)</f>
        <v>446</v>
      </c>
      <c r="G15" s="495">
        <f>SUM(G41,G28)</f>
        <v>119</v>
      </c>
      <c r="H15" s="495"/>
      <c r="I15" s="495"/>
      <c r="J15" s="495"/>
      <c r="K15" s="496">
        <f>SUM(K41,K28)</f>
        <v>639</v>
      </c>
      <c r="L15" s="381"/>
    </row>
    <row r="16" spans="1:12" ht="15" x14ac:dyDescent="0.25">
      <c r="A16" s="427"/>
      <c r="B16" s="427"/>
      <c r="C16" s="495">
        <v>14</v>
      </c>
      <c r="D16" s="495"/>
      <c r="E16" s="495">
        <f>SUM(E42,E29)</f>
        <v>2</v>
      </c>
      <c r="F16" s="495">
        <f>SUM(F42,F29)</f>
        <v>44</v>
      </c>
      <c r="G16" s="495">
        <f>SUM(G42,G29)</f>
        <v>409</v>
      </c>
      <c r="H16" s="495">
        <f>SUM(H42,H29)</f>
        <v>95</v>
      </c>
      <c r="I16" s="495"/>
      <c r="J16" s="495"/>
      <c r="K16" s="496">
        <f>SUM(K42,K29)</f>
        <v>550</v>
      </c>
      <c r="L16" s="381"/>
    </row>
    <row r="17" spans="1:12" ht="15" x14ac:dyDescent="0.25">
      <c r="A17" s="427"/>
      <c r="B17" s="427"/>
      <c r="C17" s="495">
        <v>15</v>
      </c>
      <c r="D17" s="495"/>
      <c r="E17" s="495"/>
      <c r="F17" s="495">
        <f>SUM(F43,F30)</f>
        <v>1</v>
      </c>
      <c r="G17" s="495">
        <f>SUM(G43,G30)</f>
        <v>80</v>
      </c>
      <c r="H17" s="495">
        <f>SUM(H43,H30)</f>
        <v>337</v>
      </c>
      <c r="I17" s="495">
        <f>SUM(I43,I30)</f>
        <v>68</v>
      </c>
      <c r="J17" s="495"/>
      <c r="K17" s="496">
        <f>SUM(K43,K30)</f>
        <v>486</v>
      </c>
      <c r="L17" s="381"/>
    </row>
    <row r="18" spans="1:12" ht="15" x14ac:dyDescent="0.25">
      <c r="A18" s="427"/>
      <c r="B18" s="427"/>
      <c r="C18" s="495">
        <v>16</v>
      </c>
      <c r="D18" s="495">
        <f>SUM(D44,D31)</f>
        <v>1</v>
      </c>
      <c r="E18" s="495"/>
      <c r="F18" s="495"/>
      <c r="G18" s="495">
        <f>SUM(G44,G31)</f>
        <v>10</v>
      </c>
      <c r="H18" s="495">
        <f>SUM(H44,H31)</f>
        <v>150</v>
      </c>
      <c r="I18" s="495">
        <f>SUM(I44,I31)</f>
        <v>321</v>
      </c>
      <c r="J18" s="495">
        <f>SUM(J44,J31)</f>
        <v>29</v>
      </c>
      <c r="K18" s="496">
        <f>SUM(K44,K31)</f>
        <v>511</v>
      </c>
      <c r="L18" s="381"/>
    </row>
    <row r="19" spans="1:12" ht="15" x14ac:dyDescent="0.25">
      <c r="A19" s="427"/>
      <c r="B19" s="427"/>
      <c r="C19" s="495">
        <v>17</v>
      </c>
      <c r="D19" s="495"/>
      <c r="E19" s="495"/>
      <c r="F19" s="495"/>
      <c r="G19" s="495"/>
      <c r="H19" s="495">
        <f>SUM(H45,H32)</f>
        <v>15</v>
      </c>
      <c r="I19" s="495">
        <f>SUM(I45,I32)</f>
        <v>60</v>
      </c>
      <c r="J19" s="495">
        <f>SUM(J45,J32)</f>
        <v>85</v>
      </c>
      <c r="K19" s="496">
        <f>SUM(K45,K32)</f>
        <v>160</v>
      </c>
      <c r="L19" s="381"/>
    </row>
    <row r="20" spans="1:12" ht="15" x14ac:dyDescent="0.25">
      <c r="A20" s="427"/>
      <c r="B20" s="427"/>
      <c r="C20" s="495">
        <v>18</v>
      </c>
      <c r="D20" s="495"/>
      <c r="E20" s="495"/>
      <c r="F20" s="495"/>
      <c r="G20" s="495"/>
      <c r="H20" s="495"/>
      <c r="I20" s="495">
        <f>SUM(I46,I33)</f>
        <v>6</v>
      </c>
      <c r="J20" s="495">
        <f>SUM(J46,J33)</f>
        <v>21</v>
      </c>
      <c r="K20" s="496">
        <f>SUM(K46,K33)</f>
        <v>27</v>
      </c>
      <c r="L20" s="381"/>
    </row>
    <row r="21" spans="1:12" ht="15" x14ac:dyDescent="0.25">
      <c r="A21" s="427"/>
      <c r="B21" s="427"/>
      <c r="C21" s="496" t="s">
        <v>24</v>
      </c>
      <c r="D21" s="496">
        <f>SUM(D47,D34)</f>
        <v>678</v>
      </c>
      <c r="E21" s="496">
        <f>SUM(E47,E34)</f>
        <v>686</v>
      </c>
      <c r="F21" s="496">
        <f>SUM(F47,F34)</f>
        <v>597</v>
      </c>
      <c r="G21" s="496">
        <f>SUM(G47,G34)</f>
        <v>618</v>
      </c>
      <c r="H21" s="496">
        <f>SUM(H47,H34)</f>
        <v>597</v>
      </c>
      <c r="I21" s="496">
        <f>SUM(I47,I34)</f>
        <v>455</v>
      </c>
      <c r="J21" s="496">
        <f>SUM(J47,J34)</f>
        <v>135</v>
      </c>
      <c r="K21" s="496">
        <f>SUM(K47,K34)</f>
        <v>3766</v>
      </c>
      <c r="L21" s="381"/>
    </row>
    <row r="22" spans="1:12" ht="15" x14ac:dyDescent="0.25">
      <c r="A22" s="427"/>
      <c r="B22" s="427"/>
      <c r="C22" s="497"/>
      <c r="D22" s="497"/>
      <c r="E22" s="497"/>
      <c r="F22" s="497"/>
      <c r="G22" s="497"/>
      <c r="H22" s="497"/>
      <c r="I22" s="497"/>
      <c r="J22" s="497"/>
      <c r="K22" s="497"/>
      <c r="L22" s="381"/>
    </row>
    <row r="23" spans="1:12" ht="15" x14ac:dyDescent="0.25">
      <c r="A23" s="503"/>
      <c r="B23" s="503"/>
      <c r="C23" s="489" t="s">
        <v>26</v>
      </c>
      <c r="D23" s="490"/>
      <c r="E23" s="490"/>
      <c r="F23" s="490"/>
      <c r="G23" s="490"/>
      <c r="H23" s="490"/>
      <c r="I23" s="490"/>
      <c r="J23" s="490"/>
      <c r="K23" s="490"/>
      <c r="L23" s="427"/>
    </row>
    <row r="24" spans="1:12" ht="15" x14ac:dyDescent="0.25">
      <c r="A24" s="488"/>
      <c r="B24" s="488"/>
      <c r="C24" s="492" t="s">
        <v>243</v>
      </c>
      <c r="D24" s="494" t="s">
        <v>244</v>
      </c>
      <c r="E24" s="494" t="s">
        <v>245</v>
      </c>
      <c r="F24" s="494" t="s">
        <v>246</v>
      </c>
      <c r="G24" s="494" t="s">
        <v>247</v>
      </c>
      <c r="H24" s="494" t="s">
        <v>248</v>
      </c>
      <c r="I24" s="494" t="s">
        <v>249</v>
      </c>
      <c r="J24" s="494" t="s">
        <v>250</v>
      </c>
      <c r="K24" s="494" t="s">
        <v>24</v>
      </c>
      <c r="L24" s="504"/>
    </row>
    <row r="25" spans="1:12" ht="15" x14ac:dyDescent="0.25">
      <c r="A25" s="488"/>
      <c r="B25" s="488"/>
      <c r="C25" s="495">
        <v>10</v>
      </c>
      <c r="D25" s="495">
        <v>76</v>
      </c>
      <c r="E25" s="495"/>
      <c r="F25" s="495"/>
      <c r="G25" s="495"/>
      <c r="H25" s="495"/>
      <c r="I25" s="495"/>
      <c r="J25" s="495"/>
      <c r="K25" s="511">
        <f t="shared" ref="K25:K34" si="0">SUM(D25:J25)</f>
        <v>76</v>
      </c>
      <c r="L25" s="491"/>
    </row>
    <row r="26" spans="1:12" ht="15" x14ac:dyDescent="0.25">
      <c r="A26" s="427"/>
      <c r="B26" s="427"/>
      <c r="C26" s="495">
        <v>11</v>
      </c>
      <c r="D26" s="495">
        <v>228</v>
      </c>
      <c r="E26" s="495">
        <v>74</v>
      </c>
      <c r="F26" s="495"/>
      <c r="G26" s="495"/>
      <c r="H26" s="495"/>
      <c r="I26" s="495"/>
      <c r="J26" s="495"/>
      <c r="K26" s="511">
        <f t="shared" si="0"/>
        <v>302</v>
      </c>
      <c r="L26" s="381"/>
    </row>
    <row r="27" spans="1:12" ht="15" x14ac:dyDescent="0.25">
      <c r="A27" s="427"/>
      <c r="B27" s="427"/>
      <c r="C27" s="495">
        <v>12</v>
      </c>
      <c r="D27" s="495">
        <v>28</v>
      </c>
      <c r="E27" s="495">
        <v>248</v>
      </c>
      <c r="F27" s="495">
        <v>50</v>
      </c>
      <c r="G27" s="495"/>
      <c r="H27" s="495"/>
      <c r="I27" s="495"/>
      <c r="J27" s="495"/>
      <c r="K27" s="511">
        <f t="shared" si="0"/>
        <v>326</v>
      </c>
      <c r="L27" s="381"/>
    </row>
    <row r="28" spans="1:12" ht="15" x14ac:dyDescent="0.25">
      <c r="A28" s="427"/>
      <c r="B28" s="427"/>
      <c r="C28" s="495">
        <v>13</v>
      </c>
      <c r="D28" s="495">
        <v>2</v>
      </c>
      <c r="E28" s="495">
        <v>30</v>
      </c>
      <c r="F28" s="495">
        <v>236</v>
      </c>
      <c r="G28" s="495">
        <v>73</v>
      </c>
      <c r="H28" s="495"/>
      <c r="I28" s="495"/>
      <c r="J28" s="495"/>
      <c r="K28" s="511">
        <f t="shared" si="0"/>
        <v>341</v>
      </c>
      <c r="L28" s="381"/>
    </row>
    <row r="29" spans="1:12" ht="15" x14ac:dyDescent="0.25">
      <c r="A29" s="427"/>
      <c r="B29" s="427"/>
      <c r="C29" s="495">
        <v>14</v>
      </c>
      <c r="D29" s="495"/>
      <c r="E29" s="495"/>
      <c r="F29" s="495">
        <v>17</v>
      </c>
      <c r="G29" s="495">
        <v>194</v>
      </c>
      <c r="H29" s="495">
        <v>52</v>
      </c>
      <c r="I29" s="495"/>
      <c r="J29" s="495"/>
      <c r="K29" s="511">
        <f t="shared" si="0"/>
        <v>263</v>
      </c>
      <c r="L29" s="381"/>
    </row>
    <row r="30" spans="1:12" ht="15" x14ac:dyDescent="0.25">
      <c r="A30" s="427"/>
      <c r="B30" s="427"/>
      <c r="C30" s="495">
        <v>15</v>
      </c>
      <c r="D30" s="495"/>
      <c r="E30" s="495"/>
      <c r="F30" s="495"/>
      <c r="G30" s="495">
        <v>24</v>
      </c>
      <c r="H30" s="495">
        <v>171</v>
      </c>
      <c r="I30" s="495">
        <v>38</v>
      </c>
      <c r="J30" s="495"/>
      <c r="K30" s="511">
        <f t="shared" si="0"/>
        <v>233</v>
      </c>
      <c r="L30" s="381"/>
    </row>
    <row r="31" spans="1:12" ht="15" x14ac:dyDescent="0.25">
      <c r="A31" s="427"/>
      <c r="B31" s="427"/>
      <c r="C31" s="495">
        <v>16</v>
      </c>
      <c r="D31" s="495"/>
      <c r="E31" s="495"/>
      <c r="F31" s="495"/>
      <c r="G31" s="495">
        <v>2</v>
      </c>
      <c r="H31" s="495">
        <v>77</v>
      </c>
      <c r="I31" s="495">
        <v>151</v>
      </c>
      <c r="J31" s="495">
        <v>19</v>
      </c>
      <c r="K31" s="511">
        <f t="shared" si="0"/>
        <v>249</v>
      </c>
      <c r="L31" s="381"/>
    </row>
    <row r="32" spans="1:12" ht="15" x14ac:dyDescent="0.25">
      <c r="A32" s="427"/>
      <c r="B32" s="427"/>
      <c r="C32" s="495">
        <v>17</v>
      </c>
      <c r="D32" s="495"/>
      <c r="E32" s="495"/>
      <c r="F32" s="495"/>
      <c r="G32" s="495"/>
      <c r="H32" s="495">
        <v>6</v>
      </c>
      <c r="I32" s="495">
        <v>25</v>
      </c>
      <c r="J32" s="495">
        <v>50</v>
      </c>
      <c r="K32" s="511">
        <f t="shared" si="0"/>
        <v>81</v>
      </c>
      <c r="L32" s="381"/>
    </row>
    <row r="33" spans="1:12" ht="15" x14ac:dyDescent="0.25">
      <c r="A33" s="427"/>
      <c r="B33" s="427"/>
      <c r="C33" s="495">
        <v>18</v>
      </c>
      <c r="D33" s="495"/>
      <c r="E33" s="495"/>
      <c r="F33" s="495"/>
      <c r="G33" s="495"/>
      <c r="H33" s="495"/>
      <c r="I33" s="495">
        <v>5</v>
      </c>
      <c r="J33" s="495">
        <v>8</v>
      </c>
      <c r="K33" s="511">
        <f t="shared" si="0"/>
        <v>13</v>
      </c>
      <c r="L33" s="381"/>
    </row>
    <row r="34" spans="1:12" ht="15" x14ac:dyDescent="0.25">
      <c r="A34" s="427"/>
      <c r="B34" s="427"/>
      <c r="C34" s="496" t="s">
        <v>24</v>
      </c>
      <c r="D34" s="496">
        <f>SUM(D25:D33)</f>
        <v>334</v>
      </c>
      <c r="E34" s="496">
        <f>SUM(E25:E33)</f>
        <v>352</v>
      </c>
      <c r="F34" s="496">
        <f>SUM(F25:F33)</f>
        <v>303</v>
      </c>
      <c r="G34" s="496">
        <f>SUM(G25:G33)</f>
        <v>293</v>
      </c>
      <c r="H34" s="496">
        <f>SUM(H25:H33)</f>
        <v>306</v>
      </c>
      <c r="I34" s="496">
        <f>SUM(I25:I33)</f>
        <v>219</v>
      </c>
      <c r="J34" s="496">
        <f>SUM(J25:J33)</f>
        <v>77</v>
      </c>
      <c r="K34" s="496">
        <f t="shared" si="0"/>
        <v>1884</v>
      </c>
      <c r="L34" s="381"/>
    </row>
    <row r="35" spans="1:12" ht="15" x14ac:dyDescent="0.25">
      <c r="A35" s="427"/>
      <c r="B35" s="427"/>
      <c r="C35" s="497"/>
      <c r="D35" s="497"/>
      <c r="E35" s="497"/>
      <c r="F35" s="497"/>
      <c r="G35" s="497"/>
      <c r="H35" s="497"/>
      <c r="I35" s="497"/>
      <c r="J35" s="497"/>
      <c r="K35" s="497"/>
      <c r="L35" s="381"/>
    </row>
    <row r="36" spans="1:12" ht="15" x14ac:dyDescent="0.25">
      <c r="A36" s="427"/>
      <c r="B36" s="427"/>
      <c r="C36" s="489" t="s">
        <v>25</v>
      </c>
      <c r="D36" s="490"/>
      <c r="E36" s="490"/>
      <c r="F36" s="490"/>
      <c r="G36" s="490"/>
      <c r="H36" s="490"/>
      <c r="I36" s="490"/>
      <c r="J36" s="490"/>
      <c r="K36" s="490"/>
      <c r="L36" s="381"/>
    </row>
    <row r="37" spans="1:12" ht="15" x14ac:dyDescent="0.25">
      <c r="A37" s="427"/>
      <c r="B37" s="427"/>
      <c r="C37" s="492" t="s">
        <v>243</v>
      </c>
      <c r="D37" s="494" t="s">
        <v>244</v>
      </c>
      <c r="E37" s="494" t="s">
        <v>245</v>
      </c>
      <c r="F37" s="494" t="s">
        <v>246</v>
      </c>
      <c r="G37" s="494" t="s">
        <v>247</v>
      </c>
      <c r="H37" s="494" t="s">
        <v>248</v>
      </c>
      <c r="I37" s="494" t="s">
        <v>249</v>
      </c>
      <c r="J37" s="494" t="s">
        <v>250</v>
      </c>
      <c r="K37" s="494" t="s">
        <v>24</v>
      </c>
      <c r="L37" s="381"/>
    </row>
    <row r="38" spans="1:12" ht="15" x14ac:dyDescent="0.25">
      <c r="A38" s="427"/>
      <c r="B38" s="427"/>
      <c r="C38" s="495">
        <v>10</v>
      </c>
      <c r="D38" s="495">
        <v>58</v>
      </c>
      <c r="E38" s="495"/>
      <c r="F38" s="495"/>
      <c r="G38" s="495"/>
      <c r="H38" s="495"/>
      <c r="I38" s="495"/>
      <c r="J38" s="495"/>
      <c r="K38" s="511">
        <f t="shared" ref="K38:K47" si="1">SUM(D38:J38)</f>
        <v>58</v>
      </c>
      <c r="L38" s="381"/>
    </row>
    <row r="39" spans="1:12" ht="15" x14ac:dyDescent="0.25">
      <c r="A39" s="427"/>
      <c r="B39" s="427"/>
      <c r="C39" s="495">
        <v>11</v>
      </c>
      <c r="D39" s="495">
        <v>231</v>
      </c>
      <c r="E39" s="495">
        <v>70</v>
      </c>
      <c r="F39" s="495"/>
      <c r="G39" s="495"/>
      <c r="H39" s="495"/>
      <c r="I39" s="495"/>
      <c r="J39" s="495"/>
      <c r="K39" s="511">
        <f t="shared" si="1"/>
        <v>301</v>
      </c>
      <c r="L39" s="381"/>
    </row>
    <row r="40" spans="1:12" ht="15" x14ac:dyDescent="0.25">
      <c r="A40" s="427"/>
      <c r="B40" s="427"/>
      <c r="C40" s="495">
        <v>12</v>
      </c>
      <c r="D40" s="495">
        <v>49</v>
      </c>
      <c r="E40" s="495">
        <v>225</v>
      </c>
      <c r="F40" s="495">
        <v>56</v>
      </c>
      <c r="G40" s="495"/>
      <c r="H40" s="495"/>
      <c r="I40" s="495"/>
      <c r="J40" s="495"/>
      <c r="K40" s="511">
        <f t="shared" si="1"/>
        <v>330</v>
      </c>
      <c r="L40" s="381"/>
    </row>
    <row r="41" spans="1:12" ht="15" x14ac:dyDescent="0.25">
      <c r="A41" s="427"/>
      <c r="B41" s="427"/>
      <c r="C41" s="495">
        <v>13</v>
      </c>
      <c r="D41" s="495">
        <v>5</v>
      </c>
      <c r="E41" s="495">
        <v>37</v>
      </c>
      <c r="F41" s="495">
        <v>210</v>
      </c>
      <c r="G41" s="495">
        <v>46</v>
      </c>
      <c r="H41" s="495"/>
      <c r="I41" s="495"/>
      <c r="J41" s="495"/>
      <c r="K41" s="511">
        <f t="shared" si="1"/>
        <v>298</v>
      </c>
      <c r="L41" s="381"/>
    </row>
    <row r="42" spans="1:12" ht="15" x14ac:dyDescent="0.25">
      <c r="A42" s="427"/>
      <c r="B42" s="427"/>
      <c r="C42" s="495">
        <v>14</v>
      </c>
      <c r="D42" s="495"/>
      <c r="E42" s="495">
        <v>2</v>
      </c>
      <c r="F42" s="495">
        <v>27</v>
      </c>
      <c r="G42" s="495">
        <v>215</v>
      </c>
      <c r="H42" s="495">
        <v>43</v>
      </c>
      <c r="I42" s="495"/>
      <c r="J42" s="495"/>
      <c r="K42" s="511">
        <f t="shared" si="1"/>
        <v>287</v>
      </c>
      <c r="L42" s="381"/>
    </row>
    <row r="43" spans="1:12" ht="15" x14ac:dyDescent="0.25">
      <c r="A43" s="427"/>
      <c r="B43" s="427"/>
      <c r="C43" s="495">
        <v>15</v>
      </c>
      <c r="D43" s="495"/>
      <c r="E43" s="495"/>
      <c r="F43" s="495">
        <v>1</v>
      </c>
      <c r="G43" s="495">
        <v>56</v>
      </c>
      <c r="H43" s="495">
        <v>166</v>
      </c>
      <c r="I43" s="495">
        <v>30</v>
      </c>
      <c r="J43" s="495"/>
      <c r="K43" s="511">
        <f t="shared" si="1"/>
        <v>253</v>
      </c>
      <c r="L43" s="502"/>
    </row>
    <row r="44" spans="1:12" ht="15" x14ac:dyDescent="0.25">
      <c r="A44" s="427"/>
      <c r="B44" s="427"/>
      <c r="C44" s="495">
        <v>16</v>
      </c>
      <c r="D44" s="495">
        <v>1</v>
      </c>
      <c r="E44" s="495"/>
      <c r="F44" s="495"/>
      <c r="G44" s="495">
        <v>8</v>
      </c>
      <c r="H44" s="495">
        <v>73</v>
      </c>
      <c r="I44" s="495">
        <v>170</v>
      </c>
      <c r="J44" s="495">
        <v>10</v>
      </c>
      <c r="K44" s="511">
        <f t="shared" si="1"/>
        <v>262</v>
      </c>
      <c r="L44" s="502"/>
    </row>
    <row r="45" spans="1:12" ht="15" x14ac:dyDescent="0.25">
      <c r="A45" s="427"/>
      <c r="B45" s="427"/>
      <c r="C45" s="495">
        <v>17</v>
      </c>
      <c r="D45" s="495"/>
      <c r="E45" s="495"/>
      <c r="F45" s="495"/>
      <c r="G45" s="495"/>
      <c r="H45" s="495">
        <v>9</v>
      </c>
      <c r="I45" s="495">
        <v>35</v>
      </c>
      <c r="J45" s="495">
        <v>35</v>
      </c>
      <c r="K45" s="511">
        <f t="shared" si="1"/>
        <v>79</v>
      </c>
      <c r="L45" s="427"/>
    </row>
    <row r="46" spans="1:12" ht="15" x14ac:dyDescent="0.25">
      <c r="A46" s="503"/>
      <c r="B46" s="503"/>
      <c r="C46" s="495">
        <v>18</v>
      </c>
      <c r="D46" s="495"/>
      <c r="E46" s="495"/>
      <c r="F46" s="495"/>
      <c r="G46" s="495"/>
      <c r="H46" s="495"/>
      <c r="I46" s="495">
        <v>1</v>
      </c>
      <c r="J46" s="495">
        <v>13</v>
      </c>
      <c r="K46" s="511">
        <f t="shared" si="1"/>
        <v>14</v>
      </c>
      <c r="L46" s="427"/>
    </row>
    <row r="47" spans="1:12" ht="15" x14ac:dyDescent="0.25">
      <c r="A47" s="427"/>
      <c r="B47" s="427"/>
      <c r="C47" s="422" t="s">
        <v>24</v>
      </c>
      <c r="D47" s="422">
        <f>SUM(D38:D46)</f>
        <v>344</v>
      </c>
      <c r="E47" s="422">
        <f>SUM(E38:E46)</f>
        <v>334</v>
      </c>
      <c r="F47" s="422">
        <f>SUM(F38:F46)</f>
        <v>294</v>
      </c>
      <c r="G47" s="422">
        <f>SUM(G38:G46)</f>
        <v>325</v>
      </c>
      <c r="H47" s="422">
        <f>SUM(H38:H46)</f>
        <v>291</v>
      </c>
      <c r="I47" s="422">
        <f>SUM(I38:I46)</f>
        <v>236</v>
      </c>
      <c r="J47" s="422">
        <f>SUM(J38:J46)</f>
        <v>58</v>
      </c>
      <c r="K47" s="496">
        <f t="shared" si="1"/>
        <v>1882</v>
      </c>
      <c r="L47" s="502"/>
    </row>
    <row r="48" spans="1:12" ht="14.25" x14ac:dyDescent="0.2">
      <c r="A48" s="427"/>
      <c r="B48" s="427"/>
      <c r="C48" s="381"/>
      <c r="D48" s="381"/>
      <c r="E48" s="381"/>
      <c r="F48" s="502"/>
      <c r="G48" s="381"/>
      <c r="H48" s="381"/>
      <c r="I48" s="502"/>
      <c r="J48" s="502"/>
      <c r="K48" s="381"/>
      <c r="L48" s="502"/>
    </row>
    <row r="49" spans="1:12" ht="14.25" x14ac:dyDescent="0.2">
      <c r="A49" s="282"/>
      <c r="B49" s="282"/>
      <c r="C49" s="348" t="s">
        <v>283</v>
      </c>
      <c r="D49" s="376"/>
      <c r="E49" s="282"/>
      <c r="F49" s="282"/>
      <c r="G49" s="282"/>
      <c r="H49" s="282"/>
      <c r="I49" s="282"/>
      <c r="J49" s="282"/>
      <c r="K49" s="282"/>
      <c r="L49" s="385"/>
    </row>
    <row r="50" spans="1:12" ht="14.25" x14ac:dyDescent="0.2">
      <c r="A50" s="386"/>
      <c r="B50" s="386"/>
      <c r="C50" s="386"/>
      <c r="D50" s="282"/>
      <c r="E50" s="282"/>
      <c r="F50" s="282"/>
      <c r="G50" s="282"/>
      <c r="H50" s="282"/>
      <c r="I50" s="282"/>
      <c r="J50" s="282"/>
      <c r="K50" s="282"/>
      <c r="L50" s="386"/>
    </row>
    <row r="51" spans="1:12" ht="14.25" x14ac:dyDescent="0.2">
      <c r="A51" s="386"/>
      <c r="B51" s="386"/>
      <c r="C51" s="386"/>
      <c r="D51" s="282"/>
      <c r="E51" s="282"/>
      <c r="F51" s="282"/>
      <c r="G51" s="282"/>
      <c r="H51" s="282"/>
      <c r="I51" s="282"/>
      <c r="J51" s="282"/>
      <c r="K51" s="282"/>
      <c r="L51" s="386"/>
    </row>
    <row r="52" spans="1:12" x14ac:dyDescent="0.2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</row>
  </sheetData>
  <mergeCells count="1">
    <mergeCell ref="C8:K8"/>
  </mergeCells>
  <pageMargins left="0.7" right="0.7" top="0.75" bottom="0.75" header="0.3" footer="0.3"/>
  <ignoredErrors>
    <ignoredError sqref="K25:K33 K38:K46 K34 K47" formulaRange="1"/>
  </ignoredErrors>
  <drawing r:id="rId1"/>
  <legacyDrawing r:id="rId2"/>
  <oleObjects>
    <mc:AlternateContent xmlns:mc="http://schemas.openxmlformats.org/markup-compatibility/2006">
      <mc:Choice Requires="x14">
        <oleObject progId="MSPhotoEd.3" shapeId="44034" r:id="rId3">
          <objectPr defaultSize="0" autoPict="0" r:id="rId4">
            <anchor moveWithCells="1" sizeWithCells="1">
              <from>
                <xdr:col>0</xdr:col>
                <xdr:colOff>9525</xdr:colOff>
                <xdr:row>0</xdr:row>
                <xdr:rowOff>28575</xdr:rowOff>
              </from>
              <to>
                <xdr:col>1</xdr:col>
                <xdr:colOff>485775</xdr:colOff>
                <xdr:row>3</xdr:row>
                <xdr:rowOff>95250</xdr:rowOff>
              </to>
            </anchor>
          </objectPr>
        </oleObject>
      </mc:Choice>
      <mc:Fallback>
        <oleObject progId="MSPhotoEd.3" shapeId="44034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7" tint="0.59999389629810485"/>
  </sheetPr>
  <dimension ref="B4:Y67"/>
  <sheetViews>
    <sheetView zoomScaleNormal="100" zoomScaleSheetLayoutView="90" workbookViewId="0">
      <selection activeCell="G4" sqref="G4"/>
    </sheetView>
  </sheetViews>
  <sheetFormatPr defaultRowHeight="12.75" x14ac:dyDescent="0.2"/>
  <cols>
    <col min="1" max="1" width="9.140625" style="29"/>
    <col min="2" max="2" width="7.42578125" style="29" customWidth="1"/>
    <col min="3" max="3" width="40.5703125" style="29" customWidth="1"/>
    <col min="4" max="4" width="9.140625" style="29" customWidth="1"/>
    <col min="5" max="6" width="7.85546875" style="29" customWidth="1"/>
    <col min="7" max="7" width="9.28515625" style="29" bestFit="1" customWidth="1"/>
    <col min="8" max="9" width="9.140625" style="29"/>
    <col min="10" max="10" width="10.28515625" style="29" customWidth="1"/>
    <col min="11" max="16384" width="9.140625" style="29"/>
  </cols>
  <sheetData>
    <row r="4" spans="2:23" ht="15" x14ac:dyDescent="0.25">
      <c r="E4" s="430"/>
      <c r="F4" s="430"/>
      <c r="G4" s="545" t="s">
        <v>340</v>
      </c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</row>
    <row r="5" spans="2:23" ht="9" customHeight="1" x14ac:dyDescent="0.2"/>
    <row r="7" spans="2:23" ht="15.75" x14ac:dyDescent="0.25">
      <c r="B7" s="335"/>
      <c r="C7" s="335"/>
    </row>
    <row r="8" spans="2:23" ht="12.75" customHeight="1" x14ac:dyDescent="0.2">
      <c r="B8" s="280"/>
      <c r="C8" s="280"/>
    </row>
    <row r="9" spans="2:23" ht="15.75" x14ac:dyDescent="0.25">
      <c r="B9" s="334">
        <v>3.03</v>
      </c>
      <c r="C9" s="389" t="s">
        <v>334</v>
      </c>
      <c r="D9" s="389"/>
      <c r="E9" s="389"/>
      <c r="F9" s="389"/>
      <c r="G9" s="389"/>
      <c r="H9" s="389"/>
      <c r="I9" s="389"/>
      <c r="J9" s="389"/>
    </row>
    <row r="11" spans="2:23" x14ac:dyDescent="0.2">
      <c r="E11" s="513" t="s">
        <v>251</v>
      </c>
      <c r="F11" s="513"/>
      <c r="G11" s="513"/>
      <c r="H11" s="513"/>
      <c r="I11" s="513"/>
      <c r="J11" s="513"/>
    </row>
    <row r="12" spans="2:23" x14ac:dyDescent="0.2">
      <c r="C12" s="514"/>
      <c r="D12" s="515">
        <v>2011</v>
      </c>
      <c r="E12" s="515">
        <v>2012</v>
      </c>
      <c r="F12" s="515">
        <v>2013</v>
      </c>
      <c r="G12" s="515">
        <v>2014</v>
      </c>
      <c r="H12" s="515">
        <v>2015</v>
      </c>
      <c r="I12" s="515">
        <v>2016</v>
      </c>
      <c r="J12" s="515">
        <v>2017</v>
      </c>
    </row>
    <row r="13" spans="2:23" x14ac:dyDescent="0.2">
      <c r="C13" s="516"/>
      <c r="D13" s="516"/>
      <c r="E13" s="516"/>
      <c r="F13" s="516"/>
      <c r="G13" s="516"/>
      <c r="H13" s="516"/>
    </row>
    <row r="14" spans="2:23" x14ac:dyDescent="0.2">
      <c r="C14" s="517" t="s">
        <v>320</v>
      </c>
      <c r="D14" s="516"/>
      <c r="E14" s="516"/>
      <c r="F14" s="516"/>
      <c r="G14" s="516"/>
      <c r="H14" s="516"/>
    </row>
    <row r="15" spans="2:23" x14ac:dyDescent="0.2">
      <c r="C15" s="517" t="s">
        <v>1</v>
      </c>
      <c r="D15" s="516"/>
      <c r="E15" s="516"/>
      <c r="F15" s="516"/>
      <c r="G15" s="516"/>
      <c r="H15" s="516"/>
    </row>
    <row r="16" spans="2:23" x14ac:dyDescent="0.2">
      <c r="C16" s="516" t="s">
        <v>10</v>
      </c>
      <c r="D16" s="518">
        <v>2556</v>
      </c>
      <c r="E16" s="518">
        <v>2426</v>
      </c>
      <c r="F16" s="518">
        <v>2370</v>
      </c>
      <c r="G16" s="518">
        <v>2432</v>
      </c>
      <c r="H16" s="518">
        <v>2456</v>
      </c>
      <c r="I16" s="518">
        <v>2418</v>
      </c>
      <c r="J16" s="518">
        <v>2375</v>
      </c>
    </row>
    <row r="17" spans="3:12" x14ac:dyDescent="0.2">
      <c r="C17" s="516" t="s">
        <v>299</v>
      </c>
      <c r="D17" s="518">
        <v>186</v>
      </c>
      <c r="E17" s="518">
        <v>178</v>
      </c>
      <c r="F17" s="518">
        <v>208</v>
      </c>
      <c r="G17" s="518">
        <v>181</v>
      </c>
      <c r="H17" s="518">
        <v>175</v>
      </c>
      <c r="I17" s="518">
        <v>174</v>
      </c>
      <c r="J17" s="518">
        <v>177</v>
      </c>
      <c r="K17" s="441"/>
      <c r="L17" s="520"/>
    </row>
    <row r="18" spans="3:12" x14ac:dyDescent="0.2">
      <c r="C18" s="516" t="s">
        <v>305</v>
      </c>
      <c r="D18" s="518">
        <f t="shared" ref="D18:F18" si="0">D16/D17</f>
        <v>13.741935483870968</v>
      </c>
      <c r="E18" s="518">
        <f t="shared" si="0"/>
        <v>13.629213483146067</v>
      </c>
      <c r="F18" s="518">
        <f t="shared" si="0"/>
        <v>11.39423076923077</v>
      </c>
      <c r="G18" s="518">
        <f>G16/G17</f>
        <v>13.436464088397789</v>
      </c>
      <c r="H18" s="518">
        <f>H16/H17</f>
        <v>14.034285714285714</v>
      </c>
      <c r="I18" s="518">
        <f>I16/I17</f>
        <v>13.896551724137931</v>
      </c>
      <c r="J18" s="518">
        <f t="shared" ref="J18" si="1">J16/J17</f>
        <v>13.418079096045197</v>
      </c>
      <c r="K18" s="441"/>
    </row>
    <row r="19" spans="3:12" ht="15" x14ac:dyDescent="0.2">
      <c r="C19" s="516" t="s">
        <v>321</v>
      </c>
      <c r="D19" s="518">
        <v>0</v>
      </c>
      <c r="E19" s="518">
        <v>0</v>
      </c>
      <c r="F19" s="521">
        <v>150.1</v>
      </c>
      <c r="G19" s="518">
        <v>159</v>
      </c>
      <c r="H19" s="521">
        <v>167.9</v>
      </c>
      <c r="I19" s="521">
        <v>176.8</v>
      </c>
      <c r="J19" s="521">
        <v>185.7</v>
      </c>
      <c r="K19" s="441"/>
      <c r="L19" s="520"/>
    </row>
    <row r="20" spans="3:12" x14ac:dyDescent="0.2">
      <c r="C20" s="516" t="s">
        <v>302</v>
      </c>
      <c r="D20" s="518">
        <v>0</v>
      </c>
      <c r="E20" s="518">
        <v>0</v>
      </c>
      <c r="F20" s="521">
        <f>F16/F19</f>
        <v>15.789473684210527</v>
      </c>
      <c r="G20" s="521">
        <f>G16/G19</f>
        <v>15.29559748427673</v>
      </c>
      <c r="H20" s="521">
        <f>H16/H19</f>
        <v>14.627754615842763</v>
      </c>
      <c r="I20" s="521">
        <f>I16/I19</f>
        <v>13.676470588235293</v>
      </c>
      <c r="J20" s="521">
        <f>J16/J19</f>
        <v>12.789445341949381</v>
      </c>
      <c r="K20" s="441"/>
      <c r="L20" s="520"/>
    </row>
    <row r="21" spans="3:12" x14ac:dyDescent="0.2">
      <c r="C21" s="516"/>
      <c r="D21" s="518"/>
      <c r="E21" s="518"/>
      <c r="F21" s="518"/>
      <c r="G21" s="522"/>
      <c r="H21" s="520"/>
      <c r="I21" s="520"/>
      <c r="J21" s="520"/>
      <c r="K21" s="520"/>
    </row>
    <row r="22" spans="3:12" x14ac:dyDescent="0.2">
      <c r="C22" s="517" t="s">
        <v>2</v>
      </c>
      <c r="D22" s="518"/>
      <c r="E22" s="518"/>
      <c r="F22" s="518"/>
    </row>
    <row r="23" spans="3:12" x14ac:dyDescent="0.2">
      <c r="C23" s="516" t="s">
        <v>10</v>
      </c>
      <c r="D23" s="518">
        <v>2426</v>
      </c>
      <c r="E23" s="518">
        <v>2530</v>
      </c>
      <c r="F23" s="518">
        <v>2466</v>
      </c>
      <c r="G23" s="518">
        <v>2307</v>
      </c>
      <c r="H23" s="518">
        <v>2252</v>
      </c>
      <c r="I23" s="518">
        <v>2281</v>
      </c>
      <c r="J23" s="518">
        <v>2181</v>
      </c>
    </row>
    <row r="24" spans="3:12" x14ac:dyDescent="0.2">
      <c r="C24" s="516" t="s">
        <v>299</v>
      </c>
      <c r="D24" s="518">
        <v>243</v>
      </c>
      <c r="E24" s="518">
        <v>236</v>
      </c>
      <c r="F24" s="518">
        <v>237</v>
      </c>
      <c r="G24" s="518">
        <v>240</v>
      </c>
      <c r="H24" s="518">
        <v>236</v>
      </c>
      <c r="I24" s="518">
        <v>280</v>
      </c>
      <c r="J24" s="518">
        <v>242</v>
      </c>
    </row>
    <row r="25" spans="3:12" x14ac:dyDescent="0.2">
      <c r="C25" s="516" t="s">
        <v>301</v>
      </c>
      <c r="D25" s="518">
        <f t="shared" ref="D25:F25" si="2">D23/D24</f>
        <v>9.9835390946502063</v>
      </c>
      <c r="E25" s="518">
        <f t="shared" si="2"/>
        <v>10.720338983050848</v>
      </c>
      <c r="F25" s="518">
        <f t="shared" si="2"/>
        <v>10.405063291139241</v>
      </c>
      <c r="G25" s="518">
        <f>G23/G24</f>
        <v>9.6125000000000007</v>
      </c>
      <c r="H25" s="518">
        <f>H23/H24</f>
        <v>9.5423728813559325</v>
      </c>
      <c r="I25" s="518">
        <f>I23/I24</f>
        <v>8.1464285714285722</v>
      </c>
      <c r="J25" s="518">
        <f t="shared" ref="J25" si="3">J23/J24</f>
        <v>9.0123966942148765</v>
      </c>
    </row>
    <row r="26" spans="3:12" x14ac:dyDescent="0.2">
      <c r="C26" s="516" t="s">
        <v>300</v>
      </c>
      <c r="D26" s="518">
        <v>0</v>
      </c>
      <c r="E26" s="518">
        <v>0</v>
      </c>
      <c r="F26" s="521">
        <v>189.2</v>
      </c>
      <c r="G26" s="521">
        <v>190.8</v>
      </c>
      <c r="H26" s="521">
        <v>192.4</v>
      </c>
      <c r="I26" s="521">
        <v>194</v>
      </c>
      <c r="J26" s="521">
        <v>195.6</v>
      </c>
    </row>
    <row r="27" spans="3:12" x14ac:dyDescent="0.2">
      <c r="C27" s="516" t="s">
        <v>302</v>
      </c>
      <c r="D27" s="518">
        <v>0</v>
      </c>
      <c r="E27" s="518">
        <v>0</v>
      </c>
      <c r="F27" s="521">
        <f>F23/F26</f>
        <v>13.033826638477802</v>
      </c>
      <c r="G27" s="521">
        <f>G23/G26</f>
        <v>12.091194968553458</v>
      </c>
      <c r="H27" s="521">
        <f>H23/H26</f>
        <v>11.704781704781704</v>
      </c>
      <c r="I27" s="521">
        <f>I23/I26</f>
        <v>11.757731958762887</v>
      </c>
      <c r="J27" s="521">
        <f>J23/J26</f>
        <v>11.150306748466258</v>
      </c>
    </row>
    <row r="28" spans="3:12" x14ac:dyDescent="0.2">
      <c r="C28" s="516"/>
      <c r="D28" s="518"/>
      <c r="E28" s="518"/>
      <c r="F28" s="518"/>
    </row>
    <row r="29" spans="3:12" x14ac:dyDescent="0.2">
      <c r="C29" s="517" t="s">
        <v>12</v>
      </c>
      <c r="D29" s="518"/>
      <c r="E29" s="518"/>
      <c r="F29" s="518"/>
    </row>
    <row r="30" spans="3:12" x14ac:dyDescent="0.2">
      <c r="C30" s="516" t="s">
        <v>13</v>
      </c>
      <c r="D30" s="518"/>
      <c r="E30" s="518"/>
      <c r="F30" s="518"/>
      <c r="G30" s="523"/>
    </row>
    <row r="31" spans="3:12" x14ac:dyDescent="0.2">
      <c r="C31" s="516" t="s">
        <v>10</v>
      </c>
      <c r="D31" s="518">
        <v>2756</v>
      </c>
      <c r="E31" s="518">
        <v>2787</v>
      </c>
      <c r="F31" s="518">
        <v>2886</v>
      </c>
      <c r="G31" s="518">
        <v>3067</v>
      </c>
      <c r="H31" s="518">
        <v>3213</v>
      </c>
      <c r="I31" s="518">
        <v>3379</v>
      </c>
      <c r="J31" s="518">
        <v>3321</v>
      </c>
    </row>
    <row r="32" spans="3:12" x14ac:dyDescent="0.2">
      <c r="C32" s="516" t="s">
        <v>299</v>
      </c>
      <c r="D32" s="518">
        <v>302</v>
      </c>
      <c r="E32" s="518">
        <v>277</v>
      </c>
      <c r="F32" s="518">
        <v>281</v>
      </c>
      <c r="G32" s="518">
        <v>316</v>
      </c>
      <c r="H32" s="524">
        <v>312</v>
      </c>
      <c r="I32" s="518">
        <v>334</v>
      </c>
      <c r="J32" s="518">
        <v>339</v>
      </c>
      <c r="K32" s="525"/>
    </row>
    <row r="33" spans="3:19" x14ac:dyDescent="0.2">
      <c r="C33" s="516" t="s">
        <v>301</v>
      </c>
      <c r="D33" s="518">
        <f t="shared" ref="D33:F33" si="4">D31/D32</f>
        <v>9.1258278145695364</v>
      </c>
      <c r="E33" s="518">
        <f t="shared" si="4"/>
        <v>10.061371841155236</v>
      </c>
      <c r="F33" s="518">
        <f t="shared" si="4"/>
        <v>10.270462633451958</v>
      </c>
      <c r="G33" s="518">
        <f>G31/G32</f>
        <v>9.7056962025316462</v>
      </c>
      <c r="H33" s="518">
        <f>H31/H32</f>
        <v>10.298076923076923</v>
      </c>
      <c r="I33" s="518">
        <f>I31/I32</f>
        <v>10.116766467065869</v>
      </c>
      <c r="J33" s="518">
        <f t="shared" ref="J33" si="5">J31/J32</f>
        <v>9.7964601769911503</v>
      </c>
      <c r="K33" s="441"/>
    </row>
    <row r="34" spans="3:19" x14ac:dyDescent="0.2">
      <c r="C34" s="516" t="s">
        <v>300</v>
      </c>
      <c r="D34" s="518">
        <v>0</v>
      </c>
      <c r="E34" s="518">
        <v>0</v>
      </c>
      <c r="F34" s="521">
        <v>250.4</v>
      </c>
      <c r="G34" s="521">
        <v>273.60000000000002</v>
      </c>
      <c r="H34" s="521">
        <v>271.89999999999998</v>
      </c>
      <c r="I34" s="521">
        <v>286.8</v>
      </c>
      <c r="J34" s="518">
        <v>407.74</v>
      </c>
    </row>
    <row r="35" spans="3:19" x14ac:dyDescent="0.2">
      <c r="C35" s="516" t="s">
        <v>302</v>
      </c>
      <c r="D35" s="518">
        <v>0</v>
      </c>
      <c r="E35" s="518">
        <v>0</v>
      </c>
      <c r="F35" s="521">
        <f>F31/F34</f>
        <v>11.525559105431309</v>
      </c>
      <c r="G35" s="521">
        <f>G31/G34</f>
        <v>11.209795321637426</v>
      </c>
      <c r="H35" s="521">
        <f>H31/H34</f>
        <v>11.816844428098566</v>
      </c>
      <c r="I35" s="521">
        <f>I31/I34</f>
        <v>11.781729428172943</v>
      </c>
      <c r="J35" s="521">
        <f>J31/J34</f>
        <v>8.1448962574189441</v>
      </c>
    </row>
    <row r="36" spans="3:19" x14ac:dyDescent="0.2">
      <c r="C36" s="516"/>
      <c r="D36" s="518"/>
      <c r="E36" s="518"/>
      <c r="F36" s="518"/>
    </row>
    <row r="37" spans="3:19" x14ac:dyDescent="0.2">
      <c r="C37" s="546" t="s">
        <v>319</v>
      </c>
      <c r="D37" s="518"/>
      <c r="E37" s="518"/>
      <c r="F37" s="518"/>
    </row>
    <row r="38" spans="3:19" x14ac:dyDescent="0.2">
      <c r="C38" s="516" t="s">
        <v>13</v>
      </c>
      <c r="D38" s="518"/>
      <c r="E38" s="518"/>
      <c r="F38" s="518"/>
      <c r="G38" s="520"/>
      <c r="L38" s="441"/>
    </row>
    <row r="39" spans="3:19" x14ac:dyDescent="0.2">
      <c r="C39" s="516" t="s">
        <v>10</v>
      </c>
      <c r="D39" s="518">
        <v>7738</v>
      </c>
      <c r="E39" s="518">
        <f>E31+E23+E16</f>
        <v>7743</v>
      </c>
      <c r="F39" s="518">
        <f>SUM(F16,F23,F31)</f>
        <v>7722</v>
      </c>
      <c r="G39" s="518">
        <f>SUM(G16,G23,G31)</f>
        <v>7806</v>
      </c>
      <c r="H39" s="518">
        <f>SUM(H16,H23,H31)</f>
        <v>7921</v>
      </c>
      <c r="I39" s="518">
        <f>SUM(I16,I23,I31)</f>
        <v>8078</v>
      </c>
      <c r="J39" s="518">
        <f>SUM(J16,J23,J31)</f>
        <v>7877</v>
      </c>
    </row>
    <row r="40" spans="3:19" x14ac:dyDescent="0.2">
      <c r="C40" s="516" t="s">
        <v>299</v>
      </c>
      <c r="D40" s="518">
        <v>731</v>
      </c>
      <c r="E40" s="518">
        <f>E32+E24+E17</f>
        <v>691</v>
      </c>
      <c r="F40" s="518">
        <f>SUM(F17+F24+F32)</f>
        <v>726</v>
      </c>
      <c r="G40" s="518">
        <f>SUM(G17+G24+G32)</f>
        <v>737</v>
      </c>
      <c r="H40" s="518">
        <f>SUM(H17+H24+H32)</f>
        <v>723</v>
      </c>
      <c r="I40" s="518">
        <f>SUM(I17+I24+I32)</f>
        <v>788</v>
      </c>
      <c r="J40" s="518">
        <v>731</v>
      </c>
    </row>
    <row r="41" spans="3:19" x14ac:dyDescent="0.2">
      <c r="C41" s="516" t="s">
        <v>301</v>
      </c>
      <c r="D41" s="518">
        <v>10.585499316005471</v>
      </c>
      <c r="E41" s="518">
        <f>E39/E40</f>
        <v>11.205499276410999</v>
      </c>
      <c r="F41" s="518">
        <f>F39/F40</f>
        <v>10.636363636363637</v>
      </c>
      <c r="G41" s="518">
        <v>10.4144493010958</v>
      </c>
      <c r="H41" s="518">
        <v>10.4144493010958</v>
      </c>
      <c r="I41" s="518">
        <f>I39/I40</f>
        <v>10.251269035532994</v>
      </c>
      <c r="J41" s="518">
        <v>10.585499316005471</v>
      </c>
    </row>
    <row r="42" spans="3:19" x14ac:dyDescent="0.2">
      <c r="C42" s="516" t="s">
        <v>300</v>
      </c>
      <c r="D42" s="518">
        <v>0</v>
      </c>
      <c r="E42" s="518">
        <v>0</v>
      </c>
      <c r="F42" s="518">
        <f>SUM(F19,F26,F34)</f>
        <v>589.69999999999993</v>
      </c>
      <c r="G42" s="518">
        <f>SUM(G19,G26,G34)</f>
        <v>623.40000000000009</v>
      </c>
      <c r="H42" s="518">
        <f>SUM(H19+H26+H34)</f>
        <v>632.20000000000005</v>
      </c>
      <c r="I42" s="518">
        <f>SUM(I19,I26,I34)</f>
        <v>657.6</v>
      </c>
      <c r="J42" s="518">
        <f>SUM(J19,J26,J34)</f>
        <v>789.04</v>
      </c>
    </row>
    <row r="43" spans="3:19" x14ac:dyDescent="0.2">
      <c r="C43" s="516" t="s">
        <v>302</v>
      </c>
      <c r="D43" s="518">
        <v>0</v>
      </c>
      <c r="E43" s="518">
        <v>0</v>
      </c>
      <c r="F43" s="521">
        <f>F39/F42</f>
        <v>13.094793963032052</v>
      </c>
      <c r="G43" s="521">
        <f>G39/G42</f>
        <v>12.521655437921076</v>
      </c>
      <c r="H43" s="521">
        <f>H39/H42</f>
        <v>12.529262891490033</v>
      </c>
      <c r="I43" s="521">
        <f>I39/I42</f>
        <v>12.284063260340632</v>
      </c>
      <c r="J43" s="521">
        <f>J39/J42</f>
        <v>9.98301733752408</v>
      </c>
    </row>
    <row r="44" spans="3:19" x14ac:dyDescent="0.2">
      <c r="C44" s="517"/>
      <c r="D44" s="518"/>
      <c r="E44" s="518"/>
      <c r="F44" s="518"/>
    </row>
    <row r="45" spans="3:19" x14ac:dyDescent="0.2">
      <c r="C45" s="516"/>
      <c r="D45" s="518"/>
      <c r="E45" s="518"/>
      <c r="F45" s="518"/>
    </row>
    <row r="46" spans="3:19" x14ac:dyDescent="0.2">
      <c r="C46" s="526" t="s">
        <v>137</v>
      </c>
      <c r="D46" s="518"/>
      <c r="E46" s="518"/>
      <c r="F46" s="518"/>
    </row>
    <row r="47" spans="3:19" x14ac:dyDescent="0.2">
      <c r="C47" s="517" t="s">
        <v>304</v>
      </c>
      <c r="D47" s="518"/>
      <c r="E47" s="518"/>
      <c r="F47" s="518"/>
    </row>
    <row r="48" spans="3:19" x14ac:dyDescent="0.2">
      <c r="C48" s="516" t="s">
        <v>13</v>
      </c>
      <c r="D48" s="518"/>
      <c r="E48" s="518"/>
      <c r="F48" s="518"/>
      <c r="K48" s="527"/>
      <c r="L48" s="527"/>
      <c r="M48" s="527"/>
      <c r="N48" s="527"/>
      <c r="O48" s="527"/>
      <c r="P48" s="527"/>
      <c r="Q48" s="527"/>
      <c r="R48" s="527"/>
      <c r="S48" s="527"/>
    </row>
    <row r="49" spans="2:25" x14ac:dyDescent="0.2">
      <c r="C49" s="516" t="s">
        <v>10</v>
      </c>
      <c r="D49" s="518">
        <v>370</v>
      </c>
      <c r="E49" s="518">
        <v>345</v>
      </c>
      <c r="F49" s="518">
        <v>396</v>
      </c>
      <c r="G49" s="516">
        <v>379</v>
      </c>
      <c r="H49" s="528">
        <v>439</v>
      </c>
      <c r="I49" s="516">
        <v>442</v>
      </c>
      <c r="J49" s="516">
        <v>493</v>
      </c>
      <c r="K49" s="529"/>
      <c r="L49" s="529"/>
      <c r="M49" s="529"/>
      <c r="N49" s="529"/>
      <c r="O49" s="529"/>
      <c r="P49" s="529"/>
      <c r="Q49" s="529"/>
      <c r="R49" s="529"/>
      <c r="S49" s="529"/>
    </row>
    <row r="50" spans="2:25" x14ac:dyDescent="0.2">
      <c r="C50" s="516" t="s">
        <v>11</v>
      </c>
      <c r="D50" s="518">
        <v>0</v>
      </c>
      <c r="E50" s="518">
        <v>0</v>
      </c>
      <c r="F50" s="518">
        <v>0</v>
      </c>
      <c r="G50" s="516"/>
      <c r="H50" s="519">
        <v>74</v>
      </c>
      <c r="I50" s="516">
        <v>76</v>
      </c>
      <c r="J50" s="516">
        <v>93</v>
      </c>
      <c r="L50" s="339"/>
    </row>
    <row r="51" spans="2:25" x14ac:dyDescent="0.2">
      <c r="C51" s="516" t="s">
        <v>166</v>
      </c>
      <c r="D51" s="518">
        <v>0</v>
      </c>
      <c r="E51" s="518">
        <v>0</v>
      </c>
      <c r="F51" s="518">
        <v>0</v>
      </c>
      <c r="G51" s="516"/>
      <c r="H51" s="518">
        <f>H49/H50</f>
        <v>5.9324324324324325</v>
      </c>
      <c r="I51" s="518">
        <f>I49/I50</f>
        <v>5.8157894736842106</v>
      </c>
      <c r="J51" s="518">
        <f>J49/J50</f>
        <v>5.301075268817204</v>
      </c>
      <c r="L51" s="530"/>
    </row>
    <row r="52" spans="2:25" x14ac:dyDescent="0.2">
      <c r="C52" s="516" t="s">
        <v>188</v>
      </c>
      <c r="D52" s="518">
        <v>34</v>
      </c>
      <c r="E52" s="518">
        <v>33</v>
      </c>
      <c r="F52" s="518">
        <v>33</v>
      </c>
      <c r="G52" s="516">
        <v>34.5</v>
      </c>
      <c r="H52" s="518">
        <v>38</v>
      </c>
      <c r="I52" s="518">
        <v>39</v>
      </c>
      <c r="J52" s="518">
        <v>48</v>
      </c>
      <c r="L52" s="530"/>
    </row>
    <row r="53" spans="2:25" ht="13.5" thickBot="1" x14ac:dyDescent="0.25">
      <c r="C53" s="516" t="s">
        <v>189</v>
      </c>
      <c r="D53" s="518">
        <v>37</v>
      </c>
      <c r="E53" s="518">
        <v>39</v>
      </c>
      <c r="F53" s="518">
        <v>40</v>
      </c>
      <c r="G53" s="516">
        <v>40</v>
      </c>
      <c r="H53" s="518">
        <v>40</v>
      </c>
      <c r="I53" s="518">
        <v>37</v>
      </c>
      <c r="J53" s="518">
        <v>45</v>
      </c>
    </row>
    <row r="54" spans="2:25" ht="13.5" thickBot="1" x14ac:dyDescent="0.25">
      <c r="C54" s="516" t="s">
        <v>303</v>
      </c>
      <c r="D54" s="518">
        <v>5</v>
      </c>
      <c r="E54" s="518">
        <f>E49/(E52+E53)</f>
        <v>4.791666666666667</v>
      </c>
      <c r="F54" s="518">
        <f>F49/(F52+F53)</f>
        <v>5.4246575342465757</v>
      </c>
      <c r="G54" s="518">
        <f>G49/(G52+G53)</f>
        <v>5.0872483221476514</v>
      </c>
      <c r="H54" s="518">
        <v>6</v>
      </c>
      <c r="I54" s="518">
        <f>I49/(I52+I53)</f>
        <v>5.8157894736842106</v>
      </c>
      <c r="J54" s="518">
        <v>7</v>
      </c>
      <c r="L54" s="531"/>
      <c r="M54" s="154"/>
      <c r="N54" s="532"/>
      <c r="O54" s="532"/>
      <c r="P54" s="532"/>
      <c r="Q54" s="154"/>
      <c r="R54" s="154"/>
      <c r="S54" s="533"/>
      <c r="T54" s="154"/>
      <c r="U54" s="154"/>
      <c r="V54" s="328"/>
      <c r="W54" s="328"/>
      <c r="X54" s="328"/>
      <c r="Y54" s="328"/>
    </row>
    <row r="55" spans="2:25" x14ac:dyDescent="0.2">
      <c r="C55" s="516"/>
      <c r="D55" s="518"/>
      <c r="E55" s="518"/>
      <c r="F55" s="518"/>
      <c r="G55" s="516"/>
      <c r="I55" s="516"/>
      <c r="J55" s="516"/>
      <c r="L55" s="534"/>
      <c r="M55" s="154"/>
      <c r="N55" s="535"/>
      <c r="O55" s="535"/>
      <c r="P55" s="154"/>
      <c r="Q55" s="154"/>
      <c r="R55" s="154"/>
      <c r="S55" s="534"/>
      <c r="T55" s="154"/>
      <c r="U55" s="154"/>
      <c r="V55" s="327"/>
      <c r="W55" s="327"/>
      <c r="X55" s="327"/>
      <c r="Y55" s="327"/>
    </row>
    <row r="56" spans="2:25" x14ac:dyDescent="0.2">
      <c r="C56" s="517" t="s">
        <v>177</v>
      </c>
      <c r="D56" s="518"/>
      <c r="E56" s="518"/>
      <c r="F56" s="518"/>
      <c r="L56" s="534"/>
      <c r="M56" s="154"/>
      <c r="N56" s="535"/>
      <c r="O56" s="535"/>
      <c r="P56" s="154"/>
      <c r="Q56" s="154"/>
      <c r="R56" s="154"/>
      <c r="S56" s="534"/>
      <c r="T56" s="154"/>
      <c r="U56" s="154"/>
      <c r="V56" s="327"/>
      <c r="W56" s="327"/>
      <c r="X56" s="327"/>
      <c r="Y56" s="327"/>
    </row>
    <row r="57" spans="2:25" x14ac:dyDescent="0.2">
      <c r="C57" s="517" t="s">
        <v>15</v>
      </c>
      <c r="D57" s="518"/>
      <c r="E57" s="518"/>
      <c r="F57" s="518"/>
      <c r="L57" s="534"/>
      <c r="M57" s="154"/>
      <c r="N57" s="535"/>
      <c r="O57" s="535"/>
      <c r="P57" s="154"/>
      <c r="Q57" s="154"/>
      <c r="R57" s="154"/>
      <c r="S57" s="534"/>
      <c r="T57" s="154"/>
      <c r="U57" s="154"/>
      <c r="V57" s="327"/>
      <c r="W57" s="327"/>
      <c r="X57" s="327"/>
      <c r="Y57" s="327"/>
    </row>
    <row r="58" spans="2:25" x14ac:dyDescent="0.2">
      <c r="C58" s="516" t="s">
        <v>10</v>
      </c>
      <c r="D58" s="518">
        <v>92</v>
      </c>
      <c r="E58" s="518">
        <v>99</v>
      </c>
      <c r="F58" s="518">
        <v>103</v>
      </c>
      <c r="G58" s="518">
        <v>109</v>
      </c>
      <c r="H58" s="518">
        <v>109</v>
      </c>
      <c r="I58" s="518">
        <v>103</v>
      </c>
      <c r="J58" s="518">
        <v>100</v>
      </c>
      <c r="L58" s="534"/>
      <c r="M58" s="154"/>
      <c r="N58" s="535"/>
      <c r="O58" s="535"/>
      <c r="P58" s="154"/>
      <c r="Q58" s="154"/>
      <c r="R58" s="154"/>
      <c r="S58" s="534"/>
      <c r="T58" s="154"/>
      <c r="U58" s="154"/>
      <c r="V58" s="327"/>
      <c r="W58" s="327"/>
      <c r="X58" s="327"/>
      <c r="Y58" s="327"/>
    </row>
    <row r="59" spans="2:25" x14ac:dyDescent="0.2">
      <c r="C59" s="516" t="s">
        <v>11</v>
      </c>
      <c r="D59" s="518">
        <v>17</v>
      </c>
      <c r="E59" s="518">
        <v>19</v>
      </c>
      <c r="F59" s="518">
        <v>18</v>
      </c>
      <c r="G59" s="518">
        <v>18</v>
      </c>
      <c r="H59" s="518">
        <v>18</v>
      </c>
      <c r="I59" s="518">
        <v>19</v>
      </c>
      <c r="J59" s="518">
        <v>16</v>
      </c>
      <c r="L59" s="534"/>
      <c r="M59" s="154"/>
      <c r="N59" s="535"/>
      <c r="O59" s="535"/>
      <c r="P59" s="154"/>
      <c r="Q59" s="154"/>
      <c r="R59" s="154"/>
      <c r="S59" s="534"/>
      <c r="T59" s="154"/>
      <c r="U59" s="154"/>
      <c r="V59" s="327"/>
      <c r="W59" s="327"/>
      <c r="X59" s="327"/>
      <c r="Y59" s="327"/>
    </row>
    <row r="60" spans="2:25" x14ac:dyDescent="0.2">
      <c r="C60" s="536" t="s">
        <v>166</v>
      </c>
      <c r="D60" s="537">
        <f t="shared" ref="D60:J60" si="6">D58/D59</f>
        <v>5.4117647058823533</v>
      </c>
      <c r="E60" s="537">
        <f t="shared" si="6"/>
        <v>5.2105263157894735</v>
      </c>
      <c r="F60" s="537">
        <f t="shared" si="6"/>
        <v>5.7222222222222223</v>
      </c>
      <c r="G60" s="537">
        <f t="shared" si="6"/>
        <v>6.0555555555555554</v>
      </c>
      <c r="H60" s="537">
        <f t="shared" si="6"/>
        <v>6.0555555555555554</v>
      </c>
      <c r="I60" s="537">
        <f>I58/I59</f>
        <v>5.4210526315789478</v>
      </c>
      <c r="J60" s="537">
        <f t="shared" si="6"/>
        <v>6.25</v>
      </c>
      <c r="L60" s="534"/>
      <c r="M60" s="154"/>
      <c r="N60" s="535"/>
      <c r="O60" s="535"/>
      <c r="P60" s="154"/>
      <c r="Q60" s="154"/>
      <c r="R60" s="154"/>
      <c r="S60" s="534"/>
      <c r="T60" s="154"/>
      <c r="U60" s="154"/>
      <c r="V60" s="327"/>
      <c r="W60" s="327"/>
      <c r="X60" s="327"/>
      <c r="Y60" s="327"/>
    </row>
    <row r="61" spans="2:25" x14ac:dyDescent="0.2">
      <c r="L61" s="538"/>
      <c r="M61" s="154"/>
      <c r="N61" s="539"/>
      <c r="O61" s="539"/>
      <c r="P61" s="539"/>
      <c r="Q61" s="154"/>
      <c r="R61" s="154"/>
      <c r="S61" s="534"/>
      <c r="T61" s="154"/>
      <c r="U61" s="154"/>
      <c r="V61" s="327"/>
      <c r="W61" s="327"/>
      <c r="X61" s="327"/>
      <c r="Y61" s="327"/>
    </row>
    <row r="62" spans="2:25" x14ac:dyDescent="0.2">
      <c r="C62" s="540" t="s">
        <v>118</v>
      </c>
      <c r="D62" s="516"/>
      <c r="K62" s="154"/>
      <c r="L62" s="154"/>
      <c r="M62" s="154"/>
      <c r="N62" s="154"/>
      <c r="O62" s="154"/>
      <c r="P62" s="154"/>
      <c r="Q62" s="154"/>
      <c r="R62" s="154"/>
      <c r="S62" s="534"/>
      <c r="T62" s="154"/>
      <c r="U62" s="154"/>
      <c r="V62" s="327"/>
      <c r="W62" s="327"/>
      <c r="X62" s="327"/>
      <c r="Y62" s="327"/>
    </row>
    <row r="63" spans="2:25" ht="42" customHeight="1" x14ac:dyDescent="0.2">
      <c r="B63" s="542">
        <v>1</v>
      </c>
      <c r="C63" s="543" t="s">
        <v>314</v>
      </c>
      <c r="D63" s="543"/>
      <c r="E63" s="543"/>
      <c r="F63" s="543"/>
    </row>
    <row r="64" spans="2:25" x14ac:dyDescent="0.2">
      <c r="C64" s="516"/>
      <c r="D64" s="516"/>
    </row>
    <row r="65" spans="2:6" x14ac:dyDescent="0.2">
      <c r="C65" s="544" t="s">
        <v>313</v>
      </c>
      <c r="D65" s="516"/>
    </row>
    <row r="66" spans="2:6" x14ac:dyDescent="0.2">
      <c r="C66" s="365"/>
    </row>
    <row r="67" spans="2:6" x14ac:dyDescent="0.2">
      <c r="B67" s="468"/>
      <c r="C67" s="468"/>
      <c r="D67" s="468"/>
      <c r="E67" s="468"/>
      <c r="F67" s="468"/>
    </row>
  </sheetData>
  <mergeCells count="3">
    <mergeCell ref="C63:F63"/>
    <mergeCell ref="E11:J11"/>
    <mergeCell ref="C9:J9"/>
  </mergeCells>
  <phoneticPr fontId="0" type="noConversion"/>
  <printOptions horizontalCentered="1"/>
  <pageMargins left="1" right="1" top="1" bottom="1" header="0.5" footer="0.43"/>
  <pageSetup scale="53" orientation="portrait" r:id="rId1"/>
  <headerFooter alignWithMargins="0"/>
  <ignoredErrors>
    <ignoredError sqref="H4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247650</xdr:colOff>
                <xdr:row>3</xdr:row>
                <xdr:rowOff>180975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9" tint="0.59999389629810485"/>
    <pageSetUpPr fitToPage="1"/>
  </sheetPr>
  <dimension ref="B4:L66"/>
  <sheetViews>
    <sheetView zoomScaleNormal="100" zoomScaleSheetLayoutView="85" workbookViewId="0">
      <selection activeCell="I4" sqref="I4"/>
    </sheetView>
  </sheetViews>
  <sheetFormatPr defaultColWidth="9.140625" defaultRowHeight="12.75" x14ac:dyDescent="0.2"/>
  <cols>
    <col min="1" max="1" width="2.7109375" style="280" customWidth="1"/>
    <col min="2" max="2" width="7.140625" style="280" customWidth="1"/>
    <col min="3" max="3" width="2" style="280" customWidth="1"/>
    <col min="4" max="4" width="30" style="280" customWidth="1"/>
    <col min="5" max="5" width="12" style="280" customWidth="1"/>
    <col min="6" max="7" width="11.5703125" style="280" customWidth="1"/>
    <col min="8" max="9" width="10.7109375" style="280" customWidth="1"/>
    <col min="10" max="10" width="9.140625" style="280"/>
    <col min="11" max="11" width="8.7109375" style="280" customWidth="1"/>
    <col min="12" max="16384" width="9.140625" style="280"/>
  </cols>
  <sheetData>
    <row r="4" spans="2:12" ht="15" x14ac:dyDescent="0.25">
      <c r="G4" s="366"/>
      <c r="I4" s="545" t="s">
        <v>340</v>
      </c>
    </row>
    <row r="5" spans="2:12" ht="9" customHeight="1" x14ac:dyDescent="0.2"/>
    <row r="8" spans="2:12" ht="15.75" x14ac:dyDescent="0.25">
      <c r="B8" s="334">
        <v>3.04</v>
      </c>
      <c r="C8" s="389" t="s">
        <v>351</v>
      </c>
      <c r="D8" s="389"/>
      <c r="E8" s="389"/>
      <c r="F8" s="389"/>
      <c r="G8" s="389"/>
      <c r="H8" s="389"/>
      <c r="I8" s="389"/>
      <c r="J8" s="389"/>
      <c r="K8" s="389"/>
      <c r="L8" s="389"/>
    </row>
    <row r="9" spans="2:12" ht="12.75" customHeight="1" x14ac:dyDescent="0.25">
      <c r="B9" s="334"/>
      <c r="C9" s="335"/>
      <c r="D9" s="335"/>
      <c r="E9" s="335"/>
      <c r="F9" s="335"/>
      <c r="G9" s="335"/>
    </row>
    <row r="10" spans="2:12" x14ac:dyDescent="0.2">
      <c r="G10" s="342"/>
      <c r="H10" s="342"/>
      <c r="I10" s="342"/>
    </row>
    <row r="11" spans="2:12" x14ac:dyDescent="0.2">
      <c r="C11" s="547"/>
      <c r="D11" s="547"/>
      <c r="E11" s="548"/>
      <c r="F11" s="548"/>
      <c r="G11" s="548">
        <v>2012</v>
      </c>
      <c r="H11" s="548">
        <v>2013</v>
      </c>
      <c r="I11" s="548">
        <v>2014</v>
      </c>
      <c r="J11" s="548">
        <v>2015</v>
      </c>
      <c r="K11" s="548">
        <v>2016</v>
      </c>
      <c r="L11" s="548">
        <v>2017</v>
      </c>
    </row>
    <row r="12" spans="2:12" x14ac:dyDescent="0.2">
      <c r="H12" s="342"/>
      <c r="I12" s="342"/>
      <c r="J12" s="342"/>
    </row>
    <row r="13" spans="2:12" x14ac:dyDescent="0.2">
      <c r="C13" s="549" t="s">
        <v>190</v>
      </c>
      <c r="H13" s="342"/>
      <c r="I13" s="342"/>
      <c r="J13" s="342"/>
    </row>
    <row r="14" spans="2:12" ht="10.5" customHeight="1" x14ac:dyDescent="0.2">
      <c r="C14" s="550"/>
      <c r="D14" s="549"/>
      <c r="G14" s="551"/>
      <c r="H14" s="342"/>
      <c r="I14" s="342"/>
      <c r="J14" s="342"/>
      <c r="K14" s="342"/>
      <c r="L14" s="342"/>
    </row>
    <row r="15" spans="2:12" ht="14.25" x14ac:dyDescent="0.2">
      <c r="C15" s="429"/>
      <c r="D15" s="552" t="s">
        <v>242</v>
      </c>
      <c r="G15" s="338">
        <v>335</v>
      </c>
      <c r="H15" s="337">
        <v>384</v>
      </c>
      <c r="I15" s="337">
        <v>381</v>
      </c>
      <c r="J15" s="337">
        <v>391</v>
      </c>
      <c r="K15" s="337">
        <v>389</v>
      </c>
      <c r="L15" s="337">
        <v>402</v>
      </c>
    </row>
    <row r="16" spans="2:12" x14ac:dyDescent="0.2">
      <c r="D16" s="552" t="s">
        <v>291</v>
      </c>
      <c r="G16" s="553">
        <v>8.8000000000000007</v>
      </c>
      <c r="H16" s="337">
        <v>10.6</v>
      </c>
      <c r="I16" s="337">
        <v>9.8000000000000007</v>
      </c>
      <c r="J16" s="337">
        <v>9.5</v>
      </c>
      <c r="K16" s="337">
        <v>9.6</v>
      </c>
      <c r="L16" s="337">
        <v>9.6</v>
      </c>
    </row>
    <row r="17" spans="3:12" x14ac:dyDescent="0.2">
      <c r="C17" s="429" t="s">
        <v>191</v>
      </c>
      <c r="D17" s="554"/>
      <c r="G17" s="553"/>
      <c r="H17" s="337"/>
      <c r="I17" s="337"/>
      <c r="J17" s="337"/>
      <c r="K17" s="337"/>
      <c r="L17" s="337"/>
    </row>
    <row r="18" spans="3:12" x14ac:dyDescent="0.2">
      <c r="D18" s="552" t="s">
        <v>192</v>
      </c>
      <c r="G18" s="553">
        <v>28.1</v>
      </c>
      <c r="H18" s="555">
        <v>44</v>
      </c>
      <c r="I18" s="555">
        <v>47.5</v>
      </c>
      <c r="J18" s="555">
        <v>46</v>
      </c>
      <c r="K18" s="555">
        <v>47.8</v>
      </c>
      <c r="L18" s="555">
        <v>52</v>
      </c>
    </row>
    <row r="19" spans="3:12" x14ac:dyDescent="0.2">
      <c r="D19" s="552" t="s">
        <v>193</v>
      </c>
      <c r="G19" s="553">
        <v>49.3</v>
      </c>
      <c r="H19" s="555">
        <v>69.5</v>
      </c>
      <c r="I19" s="555">
        <v>66.099999999999994</v>
      </c>
      <c r="J19" s="555">
        <v>67.3</v>
      </c>
      <c r="K19" s="555">
        <v>68.099999999999994</v>
      </c>
      <c r="L19" s="555">
        <v>71.400000000000006</v>
      </c>
    </row>
    <row r="20" spans="3:12" x14ac:dyDescent="0.2">
      <c r="D20" s="552" t="s">
        <v>204</v>
      </c>
      <c r="G20" s="553">
        <v>23.9</v>
      </c>
      <c r="H20" s="555">
        <v>35.9</v>
      </c>
      <c r="I20" s="555">
        <v>47.5</v>
      </c>
      <c r="J20" s="555">
        <v>48.3</v>
      </c>
      <c r="K20" s="555">
        <v>46.8</v>
      </c>
      <c r="L20" s="555">
        <v>50.7</v>
      </c>
    </row>
    <row r="21" spans="3:12" ht="15" customHeight="1" x14ac:dyDescent="0.2">
      <c r="D21" s="552" t="s">
        <v>194</v>
      </c>
      <c r="G21" s="553">
        <v>91.9</v>
      </c>
      <c r="H21" s="555">
        <v>94.5</v>
      </c>
      <c r="I21" s="555">
        <v>93.4</v>
      </c>
      <c r="J21" s="555">
        <v>91</v>
      </c>
      <c r="K21" s="555">
        <v>96.7</v>
      </c>
      <c r="L21" s="555">
        <v>94.5</v>
      </c>
    </row>
    <row r="22" spans="3:12" x14ac:dyDescent="0.2">
      <c r="C22" s="429"/>
      <c r="D22" s="556" t="s">
        <v>195</v>
      </c>
      <c r="G22" s="553">
        <v>99.7</v>
      </c>
      <c r="H22" s="555">
        <v>98.7</v>
      </c>
      <c r="I22" s="555">
        <v>99.2</v>
      </c>
      <c r="J22" s="555">
        <v>98.2</v>
      </c>
      <c r="K22" s="555">
        <v>99.6</v>
      </c>
      <c r="L22" s="555">
        <v>98.5</v>
      </c>
    </row>
    <row r="23" spans="3:12" x14ac:dyDescent="0.2">
      <c r="C23" s="429"/>
      <c r="D23" s="556" t="s">
        <v>196</v>
      </c>
      <c r="G23" s="553">
        <v>53.7</v>
      </c>
      <c r="H23" s="555">
        <v>68</v>
      </c>
      <c r="I23" s="555">
        <v>70.3</v>
      </c>
      <c r="J23" s="555">
        <v>68.5</v>
      </c>
      <c r="K23" s="555">
        <v>70.400000000000006</v>
      </c>
      <c r="L23" s="555">
        <v>73.400000000000006</v>
      </c>
    </row>
    <row r="24" spans="3:12" x14ac:dyDescent="0.2">
      <c r="D24" s="556" t="s">
        <v>197</v>
      </c>
      <c r="G24" s="553">
        <v>26</v>
      </c>
      <c r="H24" s="555">
        <v>37.5</v>
      </c>
      <c r="I24" s="555">
        <v>49.6</v>
      </c>
      <c r="J24" s="555">
        <v>52.4</v>
      </c>
      <c r="K24" s="555">
        <v>50.4</v>
      </c>
      <c r="L24" s="555">
        <v>52.7</v>
      </c>
    </row>
    <row r="25" spans="3:12" x14ac:dyDescent="0.2">
      <c r="G25" s="338"/>
      <c r="H25" s="337"/>
      <c r="I25" s="337"/>
      <c r="J25" s="557"/>
      <c r="K25" s="557"/>
      <c r="L25" s="557"/>
    </row>
    <row r="26" spans="3:12" x14ac:dyDescent="0.2">
      <c r="G26" s="338"/>
      <c r="H26" s="557"/>
      <c r="I26" s="557"/>
      <c r="J26" s="557"/>
      <c r="K26" s="557"/>
      <c r="L26" s="557"/>
    </row>
    <row r="27" spans="3:12" x14ac:dyDescent="0.2">
      <c r="C27" s="549" t="s">
        <v>214</v>
      </c>
      <c r="G27" s="551"/>
      <c r="H27" s="337"/>
      <c r="I27" s="337"/>
      <c r="J27" s="557"/>
      <c r="K27" s="557"/>
      <c r="L27" s="557"/>
    </row>
    <row r="28" spans="3:12" x14ac:dyDescent="0.2">
      <c r="D28" s="549"/>
      <c r="G28" s="551"/>
      <c r="H28" s="337"/>
      <c r="I28" s="337"/>
      <c r="J28" s="557"/>
      <c r="K28" s="557"/>
      <c r="L28" s="557"/>
    </row>
    <row r="29" spans="3:12" ht="15" customHeight="1" x14ac:dyDescent="0.2">
      <c r="D29" s="552" t="s">
        <v>242</v>
      </c>
      <c r="G29" s="338">
        <v>308</v>
      </c>
      <c r="H29" s="337">
        <v>363</v>
      </c>
      <c r="I29" s="337">
        <v>355</v>
      </c>
      <c r="J29" s="337">
        <v>368</v>
      </c>
      <c r="K29" s="337">
        <v>365</v>
      </c>
      <c r="L29" s="337">
        <v>377</v>
      </c>
    </row>
    <row r="30" spans="3:12" x14ac:dyDescent="0.2">
      <c r="C30" s="429"/>
      <c r="D30" s="552" t="s">
        <v>328</v>
      </c>
      <c r="G30" s="553">
        <v>8.9</v>
      </c>
      <c r="H30" s="337">
        <v>10.8</v>
      </c>
      <c r="I30" s="337">
        <v>9.9</v>
      </c>
      <c r="J30" s="555">
        <v>9.6</v>
      </c>
      <c r="K30" s="555">
        <v>9.6999999999999993</v>
      </c>
      <c r="L30" s="555">
        <v>9.6999999999999993</v>
      </c>
    </row>
    <row r="31" spans="3:12" x14ac:dyDescent="0.2">
      <c r="C31" s="429" t="s">
        <v>191</v>
      </c>
      <c r="D31" s="554"/>
      <c r="G31" s="553"/>
      <c r="H31" s="337"/>
      <c r="I31" s="337"/>
      <c r="J31" s="337"/>
      <c r="K31" s="337"/>
      <c r="L31" s="337"/>
    </row>
    <row r="32" spans="3:12" x14ac:dyDescent="0.2">
      <c r="D32" s="552" t="s">
        <v>192</v>
      </c>
      <c r="G32" s="553">
        <v>26.3</v>
      </c>
      <c r="H32" s="337">
        <v>44.6</v>
      </c>
      <c r="I32" s="337">
        <v>45.9</v>
      </c>
      <c r="J32" s="337">
        <v>45.1</v>
      </c>
      <c r="K32" s="555">
        <v>46</v>
      </c>
      <c r="L32" s="555">
        <v>52.3</v>
      </c>
    </row>
    <row r="33" spans="3:12" x14ac:dyDescent="0.2">
      <c r="D33" s="552" t="s">
        <v>193</v>
      </c>
      <c r="G33" s="553">
        <v>47.4</v>
      </c>
      <c r="H33" s="337">
        <v>69.7</v>
      </c>
      <c r="I33" s="337">
        <v>64.8</v>
      </c>
      <c r="J33" s="555">
        <v>66</v>
      </c>
      <c r="K33" s="555">
        <v>66.8</v>
      </c>
      <c r="L33" s="555">
        <v>71.400000000000006</v>
      </c>
    </row>
    <row r="34" spans="3:12" x14ac:dyDescent="0.2">
      <c r="D34" s="552" t="s">
        <v>204</v>
      </c>
      <c r="G34" s="553">
        <v>22.7</v>
      </c>
      <c r="H34" s="337">
        <v>35.5</v>
      </c>
      <c r="I34" s="337">
        <v>44.8</v>
      </c>
      <c r="J34" s="337">
        <v>46.5</v>
      </c>
      <c r="K34" s="337">
        <v>44.9</v>
      </c>
      <c r="L34" s="337">
        <v>50.1</v>
      </c>
    </row>
    <row r="35" spans="3:12" x14ac:dyDescent="0.2">
      <c r="D35" s="552" t="s">
        <v>194</v>
      </c>
      <c r="G35" s="553">
        <v>92.2</v>
      </c>
      <c r="H35" s="337">
        <v>95.3</v>
      </c>
      <c r="I35" s="337">
        <v>93.2</v>
      </c>
      <c r="J35" s="337">
        <v>90.8</v>
      </c>
      <c r="K35" s="337">
        <v>96.4</v>
      </c>
      <c r="L35" s="555">
        <v>95</v>
      </c>
    </row>
    <row r="36" spans="3:12" ht="15" customHeight="1" x14ac:dyDescent="0.2">
      <c r="D36" s="556" t="s">
        <v>195</v>
      </c>
      <c r="G36" s="553">
        <v>99.7</v>
      </c>
      <c r="H36" s="337">
        <v>98.6</v>
      </c>
      <c r="I36" s="337">
        <v>99.2</v>
      </c>
      <c r="J36" s="337">
        <v>98.1</v>
      </c>
      <c r="K36" s="337">
        <v>99.2</v>
      </c>
      <c r="L36" s="337">
        <v>99.2</v>
      </c>
    </row>
    <row r="37" spans="3:12" x14ac:dyDescent="0.2">
      <c r="C37" s="429"/>
      <c r="D37" s="556" t="s">
        <v>196</v>
      </c>
      <c r="G37" s="553">
        <v>52.6</v>
      </c>
      <c r="H37" s="337">
        <v>67.8</v>
      </c>
      <c r="I37" s="337">
        <v>68.7</v>
      </c>
      <c r="J37" s="337">
        <v>67.7</v>
      </c>
      <c r="K37" s="337">
        <v>69.599999999999994</v>
      </c>
      <c r="L37" s="337">
        <v>73.7</v>
      </c>
    </row>
    <row r="38" spans="3:12" x14ac:dyDescent="0.2">
      <c r="D38" s="556" t="s">
        <v>197</v>
      </c>
      <c r="G38" s="553">
        <v>24.7</v>
      </c>
      <c r="H38" s="337">
        <v>36.9</v>
      </c>
      <c r="I38" s="337">
        <v>47</v>
      </c>
      <c r="J38" s="337">
        <v>50.5</v>
      </c>
      <c r="K38" s="337">
        <v>48.8</v>
      </c>
      <c r="L38" s="337">
        <v>52.3</v>
      </c>
    </row>
    <row r="39" spans="3:12" x14ac:dyDescent="0.2">
      <c r="C39" s="429"/>
      <c r="G39" s="338"/>
      <c r="H39" s="337"/>
      <c r="I39" s="337"/>
      <c r="J39" s="337"/>
      <c r="K39" s="337"/>
      <c r="L39" s="337"/>
    </row>
    <row r="40" spans="3:12" x14ac:dyDescent="0.2">
      <c r="D40" s="549"/>
      <c r="G40" s="551"/>
      <c r="H40" s="337"/>
      <c r="I40" s="337"/>
      <c r="J40" s="337"/>
      <c r="K40" s="337"/>
      <c r="L40" s="337"/>
    </row>
    <row r="41" spans="3:12" x14ac:dyDescent="0.2">
      <c r="C41" s="549" t="s">
        <v>215</v>
      </c>
      <c r="G41" s="551"/>
      <c r="H41" s="337"/>
      <c r="I41" s="337"/>
      <c r="J41" s="337"/>
      <c r="K41" s="337"/>
      <c r="L41" s="337"/>
    </row>
    <row r="42" spans="3:12" x14ac:dyDescent="0.2">
      <c r="D42" s="549"/>
      <c r="G42" s="551"/>
      <c r="H42" s="337"/>
      <c r="I42" s="337"/>
      <c r="J42" s="337"/>
      <c r="K42" s="337"/>
      <c r="L42" s="337"/>
    </row>
    <row r="43" spans="3:12" ht="15" customHeight="1" x14ac:dyDescent="0.2">
      <c r="D43" s="552" t="s">
        <v>242</v>
      </c>
      <c r="G43" s="338">
        <v>27</v>
      </c>
      <c r="H43" s="337">
        <v>21</v>
      </c>
      <c r="I43" s="337">
        <v>26</v>
      </c>
      <c r="J43" s="337">
        <v>23</v>
      </c>
      <c r="K43" s="341">
        <v>24</v>
      </c>
      <c r="L43" s="337">
        <v>25</v>
      </c>
    </row>
    <row r="44" spans="3:12" x14ac:dyDescent="0.2">
      <c r="C44" s="429"/>
      <c r="D44" s="552" t="s">
        <v>328</v>
      </c>
      <c r="G44" s="553">
        <v>7.4</v>
      </c>
      <c r="H44" s="555">
        <v>7</v>
      </c>
      <c r="I44" s="555">
        <v>8.3000000000000007</v>
      </c>
      <c r="J44" s="555">
        <v>8</v>
      </c>
      <c r="K44" s="558">
        <v>8.8000000000000007</v>
      </c>
      <c r="L44" s="555">
        <v>8.4</v>
      </c>
    </row>
    <row r="45" spans="3:12" x14ac:dyDescent="0.2">
      <c r="C45" s="429" t="s">
        <v>191</v>
      </c>
      <c r="D45" s="554"/>
      <c r="G45" s="553"/>
      <c r="H45" s="555"/>
      <c r="I45" s="555"/>
      <c r="J45" s="337"/>
      <c r="K45" s="341"/>
      <c r="L45" s="337"/>
    </row>
    <row r="46" spans="3:12" x14ac:dyDescent="0.2">
      <c r="D46" s="552" t="s">
        <v>192</v>
      </c>
      <c r="G46" s="553">
        <v>48.1</v>
      </c>
      <c r="H46" s="555">
        <v>33.299999999999997</v>
      </c>
      <c r="I46" s="555">
        <v>69.2</v>
      </c>
      <c r="J46" s="555">
        <v>60.9</v>
      </c>
      <c r="K46" s="558">
        <v>75</v>
      </c>
      <c r="L46" s="555">
        <v>48</v>
      </c>
    </row>
    <row r="47" spans="3:12" x14ac:dyDescent="0.2">
      <c r="D47" s="552" t="s">
        <v>193</v>
      </c>
      <c r="G47" s="553">
        <v>70.400000000000006</v>
      </c>
      <c r="H47" s="555">
        <v>66.7</v>
      </c>
      <c r="I47" s="555">
        <v>84.6</v>
      </c>
      <c r="J47" s="555">
        <v>87</v>
      </c>
      <c r="K47" s="558">
        <v>87.5</v>
      </c>
      <c r="L47" s="555">
        <v>72</v>
      </c>
    </row>
    <row r="48" spans="3:12" x14ac:dyDescent="0.2">
      <c r="D48" s="552" t="s">
        <v>204</v>
      </c>
      <c r="G48" s="553">
        <v>37</v>
      </c>
      <c r="H48" s="555">
        <v>42.9</v>
      </c>
      <c r="I48" s="555">
        <v>84.6</v>
      </c>
      <c r="J48" s="555">
        <v>78.3</v>
      </c>
      <c r="K48" s="558">
        <v>75</v>
      </c>
      <c r="L48" s="555">
        <v>60</v>
      </c>
    </row>
    <row r="49" spans="2:12" x14ac:dyDescent="0.2">
      <c r="D49" s="552" t="s">
        <v>194</v>
      </c>
      <c r="G49" s="553">
        <v>88.9</v>
      </c>
      <c r="H49" s="555">
        <v>81</v>
      </c>
      <c r="I49" s="555">
        <v>96.2</v>
      </c>
      <c r="J49" s="555">
        <v>95.7</v>
      </c>
      <c r="K49" s="558">
        <v>100</v>
      </c>
      <c r="L49" s="555">
        <v>88</v>
      </c>
    </row>
    <row r="50" spans="2:12" x14ac:dyDescent="0.2">
      <c r="C50" s="429"/>
      <c r="D50" s="556" t="s">
        <v>195</v>
      </c>
      <c r="G50" s="553">
        <v>100</v>
      </c>
      <c r="H50" s="555">
        <v>100</v>
      </c>
      <c r="I50" s="555">
        <v>100</v>
      </c>
      <c r="J50" s="555">
        <v>100</v>
      </c>
      <c r="K50" s="558">
        <v>100</v>
      </c>
      <c r="L50" s="555">
        <v>88</v>
      </c>
    </row>
    <row r="51" spans="2:12" x14ac:dyDescent="0.2">
      <c r="D51" s="556" t="s">
        <v>196</v>
      </c>
      <c r="G51" s="553">
        <v>66.7</v>
      </c>
      <c r="H51" s="555">
        <v>71.400000000000006</v>
      </c>
      <c r="I51" s="555">
        <v>92.3</v>
      </c>
      <c r="J51" s="555">
        <v>82.6</v>
      </c>
      <c r="K51" s="558">
        <v>83.3</v>
      </c>
      <c r="L51" s="555">
        <v>68</v>
      </c>
    </row>
    <row r="52" spans="2:12" x14ac:dyDescent="0.2">
      <c r="D52" s="556" t="s">
        <v>197</v>
      </c>
      <c r="G52" s="553">
        <v>40.700000000000003</v>
      </c>
      <c r="H52" s="555">
        <v>47.6</v>
      </c>
      <c r="I52" s="555">
        <v>84.6</v>
      </c>
      <c r="J52" s="555">
        <v>82.6</v>
      </c>
      <c r="K52" s="558">
        <v>75</v>
      </c>
      <c r="L52" s="555">
        <v>60</v>
      </c>
    </row>
    <row r="53" spans="2:12" x14ac:dyDescent="0.2">
      <c r="C53" s="559"/>
      <c r="D53" s="358"/>
      <c r="E53" s="358"/>
      <c r="F53" s="358"/>
      <c r="G53" s="358"/>
      <c r="H53" s="358"/>
      <c r="I53" s="358"/>
      <c r="J53" s="358"/>
      <c r="K53" s="358"/>
      <c r="L53" s="358"/>
    </row>
    <row r="54" spans="2:12" x14ac:dyDescent="0.2">
      <c r="C54" s="64"/>
      <c r="D54" s="342"/>
      <c r="E54" s="342"/>
      <c r="F54" s="342"/>
      <c r="G54" s="342"/>
      <c r="H54" s="342"/>
      <c r="I54" s="342"/>
      <c r="J54" s="342"/>
    </row>
    <row r="55" spans="2:12" x14ac:dyDescent="0.2">
      <c r="B55" s="342"/>
      <c r="C55" s="64" t="s">
        <v>119</v>
      </c>
      <c r="E55" s="342"/>
      <c r="F55" s="342"/>
      <c r="G55" s="342"/>
      <c r="H55" s="342"/>
      <c r="I55" s="342"/>
      <c r="J55" s="342"/>
    </row>
    <row r="56" spans="2:12" ht="18" customHeight="1" x14ac:dyDescent="0.2">
      <c r="B56" s="342"/>
      <c r="C56" s="362">
        <v>1</v>
      </c>
      <c r="D56" s="560" t="s">
        <v>286</v>
      </c>
      <c r="E56" s="560"/>
      <c r="F56" s="560"/>
      <c r="G56" s="560"/>
      <c r="H56" s="560"/>
      <c r="I56" s="560"/>
      <c r="J56" s="560"/>
      <c r="K56" s="560"/>
    </row>
    <row r="57" spans="2:12" ht="17.25" customHeight="1" x14ac:dyDescent="0.2">
      <c r="B57" s="342"/>
      <c r="C57" s="342"/>
      <c r="D57" s="560" t="s">
        <v>223</v>
      </c>
      <c r="E57" s="560"/>
      <c r="F57" s="560"/>
      <c r="G57" s="560"/>
      <c r="H57" s="560"/>
      <c r="I57" s="560"/>
      <c r="J57" s="560"/>
      <c r="K57" s="560"/>
    </row>
    <row r="58" spans="2:12" x14ac:dyDescent="0.2">
      <c r="B58" s="342"/>
      <c r="C58" s="342"/>
      <c r="D58" s="280" t="s">
        <v>329</v>
      </c>
      <c r="H58" s="342"/>
      <c r="I58" s="342"/>
      <c r="J58" s="342"/>
    </row>
    <row r="59" spans="2:12" x14ac:dyDescent="0.2">
      <c r="B59" s="342"/>
      <c r="C59" s="342"/>
      <c r="H59" s="342"/>
      <c r="I59" s="342"/>
      <c r="J59" s="342"/>
    </row>
    <row r="60" spans="2:12" ht="14.25" x14ac:dyDescent="0.2">
      <c r="B60" s="342"/>
      <c r="C60" s="363"/>
      <c r="D60" s="64" t="s">
        <v>330</v>
      </c>
      <c r="H60" s="342"/>
      <c r="I60" s="342"/>
      <c r="J60" s="342"/>
    </row>
    <row r="61" spans="2:12" ht="14.25" x14ac:dyDescent="0.2">
      <c r="B61" s="342"/>
      <c r="C61" s="363"/>
      <c r="H61" s="342"/>
      <c r="I61" s="342"/>
      <c r="J61" s="342"/>
    </row>
    <row r="62" spans="2:12" ht="14.25" x14ac:dyDescent="0.2">
      <c r="B62" s="342"/>
      <c r="C62" s="363"/>
      <c r="D62" s="342" t="s">
        <v>287</v>
      </c>
      <c r="H62" s="342"/>
      <c r="I62" s="342"/>
      <c r="J62" s="342"/>
    </row>
    <row r="63" spans="2:12" ht="14.25" x14ac:dyDescent="0.2">
      <c r="B63" s="342"/>
      <c r="C63" s="363"/>
      <c r="H63" s="342"/>
      <c r="I63" s="342"/>
      <c r="J63" s="342"/>
    </row>
    <row r="64" spans="2:12" ht="14.25" x14ac:dyDescent="0.2">
      <c r="B64" s="342"/>
      <c r="C64" s="363"/>
      <c r="D64" s="342"/>
      <c r="H64" s="342"/>
      <c r="I64" s="342"/>
      <c r="J64" s="342"/>
    </row>
    <row r="65" spans="2:7" ht="9" customHeight="1" x14ac:dyDescent="0.2">
      <c r="B65" s="342"/>
      <c r="C65" s="363"/>
      <c r="D65" s="64"/>
    </row>
    <row r="66" spans="2:7" x14ac:dyDescent="0.2">
      <c r="B66" s="365"/>
      <c r="C66" s="365"/>
      <c r="D66" s="365"/>
      <c r="E66" s="365"/>
      <c r="F66" s="365"/>
      <c r="G66" s="338"/>
    </row>
  </sheetData>
  <mergeCells count="3">
    <mergeCell ref="D56:K56"/>
    <mergeCell ref="D57:K57"/>
    <mergeCell ref="C8:L8"/>
  </mergeCells>
  <phoneticPr fontId="0" type="noConversion"/>
  <printOptions horizontalCentered="1"/>
  <pageMargins left="0.98425196850393704" right="0.98425196850393704" top="0.98425196850393704" bottom="0.98425196850393704" header="0.51181102362204722" footer="0.43307086614173229"/>
  <pageSetup scale="59" orientation="portrait" r:id="rId1"/>
  <headerFooter alignWithMargins="0"/>
  <colBreaks count="1" manualBreakCount="1">
    <brk id="10" max="65" man="1"/>
  </colBreaks>
  <drawing r:id="rId2"/>
  <legacyDrawing r:id="rId3"/>
  <oleObjects>
    <mc:AlternateContent xmlns:mc="http://schemas.openxmlformats.org/markup-compatibility/2006">
      <mc:Choice Requires="x14">
        <oleObject progId="MSPhotoEd.3" shapeId="2252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0</xdr:col>
                <xdr:colOff>171450</xdr:colOff>
                <xdr:row>0</xdr:row>
                <xdr:rowOff>66675</xdr:rowOff>
              </to>
            </anchor>
          </objectPr>
        </oleObject>
      </mc:Choice>
      <mc:Fallback>
        <oleObject progId="MSPhotoEd.3" shapeId="22529" r:id="rId4"/>
      </mc:Fallback>
    </mc:AlternateContent>
    <mc:AlternateContent xmlns:mc="http://schemas.openxmlformats.org/markup-compatibility/2006">
      <mc:Choice Requires="x14">
        <oleObject progId="MSPhotoEd.3" shapeId="22531" r:id="rId6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3</xdr:col>
                <xdr:colOff>504825</xdr:colOff>
                <xdr:row>3</xdr:row>
                <xdr:rowOff>123825</xdr:rowOff>
              </to>
            </anchor>
          </objectPr>
        </oleObject>
      </mc:Choice>
      <mc:Fallback>
        <oleObject progId="MSPhotoEd.3" shapeId="2253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17</vt:i4>
      </vt:variant>
    </vt:vector>
  </HeadingPairs>
  <TitlesOfParts>
    <vt:vector size="40" baseType="lpstr">
      <vt:lpstr>3.01a</vt:lpstr>
      <vt:lpstr>3.01b</vt:lpstr>
      <vt:lpstr>3.01c</vt:lpstr>
      <vt:lpstr>3.02a</vt:lpstr>
      <vt:lpstr>3.02b</vt:lpstr>
      <vt:lpstr>3.02c</vt:lpstr>
      <vt:lpstr>3.02d</vt:lpstr>
      <vt:lpstr>3.03</vt:lpstr>
      <vt:lpstr>3.04</vt:lpstr>
      <vt:lpstr>.03a</vt:lpstr>
      <vt:lpstr>.03c</vt:lpstr>
      <vt:lpstr>Rec Exp work(.05)</vt:lpstr>
      <vt:lpstr>3.06a</vt:lpstr>
      <vt:lpstr>.04rold</vt:lpstr>
      <vt:lpstr>3.06b</vt:lpstr>
      <vt:lpstr>.05rc</vt:lpstr>
      <vt:lpstr>3.05</vt:lpstr>
      <vt:lpstr>3.06</vt:lpstr>
      <vt:lpstr>3.07</vt:lpstr>
      <vt:lpstr>.08c&amp;d</vt:lpstr>
      <vt:lpstr>3.07a</vt:lpstr>
      <vt:lpstr>3.07b</vt:lpstr>
      <vt:lpstr>3.07c</vt:lpstr>
      <vt:lpstr>'.04rold'!Print_Area</vt:lpstr>
      <vt:lpstr>'.05rc'!Print_Area</vt:lpstr>
      <vt:lpstr>'.08c&amp;d'!Print_Area</vt:lpstr>
      <vt:lpstr>'3.01a'!Print_Area</vt:lpstr>
      <vt:lpstr>'3.01b'!Print_Area</vt:lpstr>
      <vt:lpstr>'3.01c'!Print_Area</vt:lpstr>
      <vt:lpstr>'3.02a'!Print_Area</vt:lpstr>
      <vt:lpstr>'3.02b'!Print_Area</vt:lpstr>
      <vt:lpstr>'3.02c'!Print_Area</vt:lpstr>
      <vt:lpstr>'3.03'!Print_Area</vt:lpstr>
      <vt:lpstr>'3.04'!Print_Area</vt:lpstr>
      <vt:lpstr>'3.05'!Print_Area</vt:lpstr>
      <vt:lpstr>'3.06'!Print_Area</vt:lpstr>
      <vt:lpstr>'3.06a'!Print_Area</vt:lpstr>
      <vt:lpstr>'3.06b'!Print_Area</vt:lpstr>
      <vt:lpstr>'3.07'!Print_Area</vt:lpstr>
      <vt:lpstr>'Rec Exp work(.05)'!Print_Area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Education &amp; Culture</dc:subject>
  <dc:creator>Economics &amp; Statistics Office</dc:creator>
  <cp:lastModifiedBy>Ebanks, Narnia</cp:lastModifiedBy>
  <cp:lastPrinted>2018-01-30T19:32:56Z</cp:lastPrinted>
  <dcterms:created xsi:type="dcterms:W3CDTF">2009-04-08T18:56:19Z</dcterms:created>
  <dcterms:modified xsi:type="dcterms:W3CDTF">2018-11-01T00:46:20Z</dcterms:modified>
</cp:coreProperties>
</file>