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drawings/drawing6.xml" ContentType="application/vnd.openxmlformats-officedocument.drawing+xml"/>
  <Override PartName="/xl/embeddings/oleObject9.bin" ContentType="application/vnd.openxmlformats-officedocument.oleObject"/>
  <Override PartName="/xl/drawings/drawing7.xml" ContentType="application/vnd.openxmlformats-officedocument.drawing+xml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drawings/drawing9.xml" ContentType="application/vnd.openxmlformats-officedocument.drawing+xml"/>
  <Override PartName="/xl/embeddings/oleObject12.bin" ContentType="application/vnd.openxmlformats-officedocument.oleObject"/>
  <Override PartName="/xl/drawings/drawing10.xml" ContentType="application/vnd.openxmlformats-officedocument.drawing+xml"/>
  <Override PartName="/xl/embeddings/oleObject13.bin" ContentType="application/vnd.openxmlformats-officedocument.oleObject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embeddings/oleObject14.bin" ContentType="application/vnd.openxmlformats-officedocument.oleObject"/>
  <Override PartName="/xl/drawings/drawing12.xml" ContentType="application/vnd.openxmlformats-officedocument.drawing+xml"/>
  <Override PartName="/xl/embeddings/oleObject15.bin" ContentType="application/vnd.openxmlformats-officedocument.oleObject"/>
  <Override PartName="/xl/drawings/drawing13.xml" ContentType="application/vnd.openxmlformats-officedocument.drawing+xml"/>
  <Override PartName="/xl/embeddings/oleObject16.bin" ContentType="application/vnd.openxmlformats-officedocument.oleObject"/>
  <Override PartName="/xl/drawings/drawing14.xml" ContentType="application/vnd.openxmlformats-officedocument.drawing+xml"/>
  <Override PartName="/xl/embeddings/oleObject17.bin" ContentType="application/vnd.openxmlformats-officedocument.oleObject"/>
  <Override PartName="/xl/drawings/drawing15.xml" ContentType="application/vnd.openxmlformats-officedocument.drawing+xml"/>
  <Override PartName="/xl/embeddings/oleObject18.bin" ContentType="application/vnd.openxmlformats-officedocument.oleObject"/>
  <Override PartName="/xl/drawings/drawing16.xml" ContentType="application/vnd.openxmlformats-officedocument.drawing+xml"/>
  <Override PartName="/xl/embeddings/oleObject19.bin" ContentType="application/vnd.openxmlformats-officedocument.oleObject"/>
  <Override PartName="/xl/drawings/drawing17.xml" ContentType="application/vnd.openxmlformats-officedocument.drawing+xml"/>
  <Override PartName="/xl/embeddings/oleObject20.bin" ContentType="application/vnd.openxmlformats-officedocument.oleObject"/>
  <Override PartName="/xl/drawings/drawing18.xml" ContentType="application/vnd.openxmlformats-officedocument.drawing+xml"/>
  <Override PartName="/xl/embeddings/oleObject21.bin" ContentType="application/vnd.openxmlformats-officedocument.oleObject"/>
  <Override PartName="/xl/drawings/drawing19.xml" ContentType="application/vnd.openxmlformats-officedocument.drawing+xml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ompendium of Statistics\2022 Compendium\Website\2022 Chapters\"/>
    </mc:Choice>
  </mc:AlternateContent>
  <xr:revisionPtr revIDLastSave="0" documentId="13_ncr:1_{A90A4DD1-2B9F-4EDD-979E-C20A9E28B677}" xr6:coauthVersionLast="36" xr6:coauthVersionMax="36" xr10:uidLastSave="{00000000-0000-0000-0000-000000000000}"/>
  <bookViews>
    <workbookView xWindow="0" yWindow="0" windowWidth="28770" windowHeight="12075" xr2:uid="{00000000-000D-0000-FFFF-FFFF00000000}"/>
  </bookViews>
  <sheets>
    <sheet name="3.01a" sheetId="27" r:id="rId1"/>
    <sheet name="3.01b" sheetId="31" r:id="rId2"/>
    <sheet name="3.01c" sheetId="36" r:id="rId3"/>
    <sheet name="3.02a" sheetId="30" r:id="rId4"/>
    <sheet name="3.02b" sheetId="29" r:id="rId5"/>
    <sheet name="3.02c" sheetId="37" r:id="rId6"/>
    <sheet name="3.02d" sheetId="44" r:id="rId7"/>
    <sheet name="3.03" sheetId="3" r:id="rId8"/>
    <sheet name="3.04" sheetId="28" r:id="rId9"/>
    <sheet name=".03a" sheetId="5" state="hidden" r:id="rId10"/>
    <sheet name=".03c" sheetId="6" state="hidden" r:id="rId11"/>
    <sheet name="Rec Exp work(.05)" sheetId="19" state="hidden" r:id="rId12"/>
    <sheet name="3.06a" sheetId="22" state="hidden" r:id="rId13"/>
    <sheet name=".04rold" sheetId="7" state="hidden" r:id="rId14"/>
    <sheet name="3.06b" sheetId="8" state="hidden" r:id="rId15"/>
    <sheet name=".05rc" sheetId="10" state="hidden" r:id="rId16"/>
    <sheet name="3.05" sheetId="40" r:id="rId17"/>
    <sheet name="3.06" sheetId="13" r:id="rId18"/>
    <sheet name="3.07" sheetId="26" state="hidden" r:id="rId19"/>
    <sheet name=".08c&amp;d" sheetId="39" state="hidden" r:id="rId20"/>
    <sheet name="3.07a" sheetId="42" r:id="rId21"/>
    <sheet name="3.07b" sheetId="43" r:id="rId22"/>
  </sheets>
  <definedNames>
    <definedName name="_xlnm.Print_Area" localSheetId="13">'.04rold'!$A$1:$O$79</definedName>
    <definedName name="_xlnm.Print_Area" localSheetId="15">'.05rc'!$A$1:$Y$55</definedName>
    <definedName name="_xlnm.Print_Area" localSheetId="19">'.08c&amp;d'!$A$1:$X$52</definedName>
    <definedName name="_xlnm.Print_Area" localSheetId="0">'3.01a'!$A$1:$M$65</definedName>
    <definedName name="_xlnm.Print_Area" localSheetId="1">'3.01b'!$A$1:$R$74</definedName>
    <definedName name="_xlnm.Print_Area" localSheetId="2">'3.01c'!$A$1:$M$45</definedName>
    <definedName name="_xlnm.Print_Area" localSheetId="3">'3.02a'!$A$1:$M$129</definedName>
    <definedName name="_xlnm.Print_Area" localSheetId="4">'3.02b'!$A$1:$H$74</definedName>
    <definedName name="_xlnm.Print_Area" localSheetId="5">'3.02c'!$A$1:$L$61</definedName>
    <definedName name="_xlnm.Print_Area" localSheetId="7">'3.03'!$A$1:$J$79</definedName>
    <definedName name="_xlnm.Print_Area" localSheetId="8">'3.04'!$A$1:$Q$64</definedName>
    <definedName name="_xlnm.Print_Area" localSheetId="16">'3.05'!$A$1:$K$64</definedName>
    <definedName name="_xlnm.Print_Area" localSheetId="17">'3.06'!$A$1:$K$48</definedName>
    <definedName name="_xlnm.Print_Area" localSheetId="12">'3.06a'!$A$1:$M$69</definedName>
    <definedName name="_xlnm.Print_Area" localSheetId="14">'3.06b'!$A$2:$Y$64</definedName>
    <definedName name="_xlnm.Print_Area" localSheetId="18">'3.07'!$A$1:$V$39</definedName>
    <definedName name="_xlnm.Print_Area" localSheetId="11">'Rec Exp work(.05)'!$A$2:$Y$72</definedName>
  </definedNames>
  <calcPr calcId="191029" refMode="R1C1"/>
</workbook>
</file>

<file path=xl/calcChain.xml><?xml version="1.0" encoding="utf-8"?>
<calcChain xmlns="http://schemas.openxmlformats.org/spreadsheetml/2006/main">
  <c r="M29" i="27" l="1"/>
  <c r="E24" i="43" l="1"/>
  <c r="D24" i="43"/>
  <c r="J11" i="43"/>
  <c r="S13" i="42"/>
  <c r="R13" i="42"/>
  <c r="Q13" i="42"/>
  <c r="L36" i="44" l="1"/>
  <c r="L37" i="44"/>
  <c r="L38" i="44"/>
  <c r="L39" i="44"/>
  <c r="J69" i="3"/>
  <c r="I69" i="3"/>
  <c r="H69" i="3"/>
  <c r="G69" i="3"/>
  <c r="F69" i="3"/>
  <c r="E69" i="3"/>
  <c r="D69" i="3"/>
  <c r="J63" i="3"/>
  <c r="H63" i="3"/>
  <c r="D63" i="3"/>
  <c r="J60" i="3"/>
  <c r="I60" i="3"/>
  <c r="H60" i="3"/>
  <c r="G60" i="3"/>
  <c r="F60" i="3"/>
  <c r="E60" i="3"/>
  <c r="D60" i="3"/>
  <c r="J51" i="3"/>
  <c r="I51" i="3"/>
  <c r="H51" i="3"/>
  <c r="G51" i="3"/>
  <c r="F51" i="3"/>
  <c r="E51" i="3"/>
  <c r="D51" i="3"/>
  <c r="J49" i="3"/>
  <c r="I49" i="3"/>
  <c r="G49" i="3"/>
  <c r="F49" i="3"/>
  <c r="D49" i="3"/>
  <c r="J48" i="3"/>
  <c r="I48" i="3"/>
  <c r="H48" i="3"/>
  <c r="G48" i="3"/>
  <c r="F48" i="3"/>
  <c r="E48" i="3"/>
  <c r="D48" i="3"/>
  <c r="J36" i="3"/>
  <c r="I36" i="3"/>
  <c r="H36" i="3"/>
  <c r="G36" i="3"/>
  <c r="F36" i="3"/>
  <c r="E36" i="3"/>
  <c r="D36" i="3"/>
  <c r="J34" i="3"/>
  <c r="I34" i="3"/>
  <c r="H34" i="3"/>
  <c r="G34" i="3"/>
  <c r="F34" i="3"/>
  <c r="E34" i="3"/>
  <c r="D34" i="3"/>
  <c r="J28" i="3"/>
  <c r="I28" i="3"/>
  <c r="H28" i="3"/>
  <c r="G28" i="3"/>
  <c r="F28" i="3"/>
  <c r="E28" i="3"/>
  <c r="D28" i="3"/>
  <c r="J26" i="3"/>
  <c r="I26" i="3"/>
  <c r="H26" i="3"/>
  <c r="G26" i="3"/>
  <c r="F26" i="3"/>
  <c r="E26" i="3"/>
  <c r="D26" i="3"/>
  <c r="J21" i="3"/>
  <c r="I21" i="3"/>
  <c r="H21" i="3"/>
  <c r="G21" i="3"/>
  <c r="F21" i="3"/>
  <c r="E21" i="3"/>
  <c r="J19" i="3"/>
  <c r="I19" i="3"/>
  <c r="H19" i="3"/>
  <c r="G19" i="3"/>
  <c r="F19" i="3"/>
  <c r="E19" i="3"/>
  <c r="D19" i="3"/>
  <c r="K55" i="44"/>
  <c r="J55" i="44"/>
  <c r="I55" i="44"/>
  <c r="H55" i="44"/>
  <c r="G55" i="44"/>
  <c r="F55" i="44"/>
  <c r="E55" i="44"/>
  <c r="L54" i="44"/>
  <c r="L53" i="44"/>
  <c r="L52" i="44"/>
  <c r="L51" i="44"/>
  <c r="L50" i="44"/>
  <c r="L49" i="44"/>
  <c r="L48" i="44"/>
  <c r="L47" i="44"/>
  <c r="L46" i="44"/>
  <c r="L45" i="44"/>
  <c r="L15" i="44" s="1"/>
  <c r="L44" i="44"/>
  <c r="L14" i="44" s="1"/>
  <c r="L43" i="44"/>
  <c r="K40" i="44"/>
  <c r="J40" i="44"/>
  <c r="I40" i="44"/>
  <c r="H40" i="44"/>
  <c r="G40" i="44"/>
  <c r="F40" i="44"/>
  <c r="E40" i="44"/>
  <c r="L35" i="44"/>
  <c r="L34" i="44"/>
  <c r="L33" i="44"/>
  <c r="L32" i="44"/>
  <c r="L31" i="44"/>
  <c r="L30" i="44"/>
  <c r="L29" i="44"/>
  <c r="L28" i="44"/>
  <c r="K24" i="44"/>
  <c r="K21" i="44"/>
  <c r="J21" i="44"/>
  <c r="K20" i="44"/>
  <c r="J20" i="44"/>
  <c r="I20" i="44"/>
  <c r="K19" i="44"/>
  <c r="J19" i="44"/>
  <c r="I19" i="44"/>
  <c r="H19" i="44"/>
  <c r="J18" i="44"/>
  <c r="I18" i="44"/>
  <c r="H18" i="44"/>
  <c r="G18" i="44"/>
  <c r="I17" i="44"/>
  <c r="H17" i="44"/>
  <c r="G17" i="44"/>
  <c r="F17" i="44"/>
  <c r="H16" i="44"/>
  <c r="G16" i="44"/>
  <c r="F16" i="44"/>
  <c r="E16" i="44"/>
  <c r="G15" i="44"/>
  <c r="F15" i="44"/>
  <c r="E15" i="44"/>
  <c r="F14" i="44"/>
  <c r="E14" i="44"/>
  <c r="E13" i="44"/>
  <c r="J54" i="37"/>
  <c r="J24" i="37" s="1"/>
  <c r="I54" i="37"/>
  <c r="H54" i="37"/>
  <c r="G54" i="37"/>
  <c r="F54" i="37"/>
  <c r="E54" i="37"/>
  <c r="D54" i="37"/>
  <c r="K51" i="37"/>
  <c r="K50" i="37"/>
  <c r="K49" i="37"/>
  <c r="K48" i="37"/>
  <c r="K47" i="37"/>
  <c r="K46" i="37"/>
  <c r="K45" i="37"/>
  <c r="K44" i="37"/>
  <c r="K43" i="37"/>
  <c r="K54" i="37" s="1"/>
  <c r="J39" i="37"/>
  <c r="I39" i="37"/>
  <c r="I24" i="37" s="1"/>
  <c r="H39" i="37"/>
  <c r="G39" i="37"/>
  <c r="F39" i="37"/>
  <c r="E39" i="37"/>
  <c r="E24" i="37" s="1"/>
  <c r="D39" i="37"/>
  <c r="K36" i="37"/>
  <c r="K35" i="37"/>
  <c r="K20" i="37" s="1"/>
  <c r="K34" i="37"/>
  <c r="K19" i="37" s="1"/>
  <c r="K33" i="37"/>
  <c r="K18" i="37" s="1"/>
  <c r="K32" i="37"/>
  <c r="K17" i="37" s="1"/>
  <c r="K31" i="37"/>
  <c r="K16" i="37" s="1"/>
  <c r="K30" i="37"/>
  <c r="K15" i="37" s="1"/>
  <c r="K29" i="37"/>
  <c r="K14" i="37" s="1"/>
  <c r="K28" i="37"/>
  <c r="K39" i="37" s="1"/>
  <c r="G24" i="37"/>
  <c r="F24" i="37"/>
  <c r="K21" i="37"/>
  <c r="J21" i="37"/>
  <c r="I21" i="37"/>
  <c r="J20" i="37"/>
  <c r="I20" i="37"/>
  <c r="H20" i="37"/>
  <c r="J19" i="37"/>
  <c r="I19" i="37"/>
  <c r="H19" i="37"/>
  <c r="G19" i="37"/>
  <c r="J18" i="37"/>
  <c r="I18" i="37"/>
  <c r="H18" i="37"/>
  <c r="G18" i="37"/>
  <c r="F18" i="37"/>
  <c r="E18" i="37"/>
  <c r="H17" i="37"/>
  <c r="G17" i="37"/>
  <c r="F17" i="37"/>
  <c r="E17" i="37"/>
  <c r="G16" i="37"/>
  <c r="F16" i="37"/>
  <c r="E16" i="37"/>
  <c r="F15" i="37"/>
  <c r="E15" i="37"/>
  <c r="D15" i="37"/>
  <c r="E14" i="37"/>
  <c r="D14" i="37"/>
  <c r="H24" i="37"/>
  <c r="D13" i="37"/>
  <c r="D24" i="37" s="1"/>
  <c r="F68" i="29"/>
  <c r="F67" i="29"/>
  <c r="F66" i="29"/>
  <c r="F62" i="29" s="1"/>
  <c r="F65" i="29"/>
  <c r="F63" i="29"/>
  <c r="E62" i="29"/>
  <c r="D62" i="29"/>
  <c r="F60" i="29"/>
  <c r="F59" i="29"/>
  <c r="F54" i="29" s="1"/>
  <c r="F58" i="29"/>
  <c r="F57" i="29"/>
  <c r="F55" i="29"/>
  <c r="E54" i="29"/>
  <c r="D54" i="29"/>
  <c r="F52" i="29"/>
  <c r="F51" i="29"/>
  <c r="F50" i="29"/>
  <c r="F46" i="29" s="1"/>
  <c r="F49" i="29"/>
  <c r="F47" i="29"/>
  <c r="E46" i="29"/>
  <c r="D46" i="29"/>
  <c r="F44" i="29"/>
  <c r="F43" i="29"/>
  <c r="F38" i="29" s="1"/>
  <c r="F42" i="29"/>
  <c r="F41" i="29"/>
  <c r="F39" i="29"/>
  <c r="E38" i="29"/>
  <c r="D38" i="29"/>
  <c r="F36" i="29"/>
  <c r="F35" i="29"/>
  <c r="F34" i="29"/>
  <c r="F33" i="29"/>
  <c r="F32" i="29"/>
  <c r="F31" i="29"/>
  <c r="F30" i="29"/>
  <c r="E30" i="29"/>
  <c r="D30" i="29"/>
  <c r="F27" i="29"/>
  <c r="F26" i="29"/>
  <c r="F25" i="29"/>
  <c r="F24" i="29"/>
  <c r="F23" i="29"/>
  <c r="E22" i="29"/>
  <c r="D22" i="29"/>
  <c r="E19" i="29"/>
  <c r="D19" i="29"/>
  <c r="E18" i="29"/>
  <c r="E14" i="29" s="1"/>
  <c r="D18" i="29"/>
  <c r="E17" i="29"/>
  <c r="D17" i="29"/>
  <c r="E16" i="29"/>
  <c r="D16" i="29"/>
  <c r="E15" i="29"/>
  <c r="D15" i="29"/>
  <c r="I128" i="30"/>
  <c r="I127" i="30"/>
  <c r="H126" i="30"/>
  <c r="G126" i="30"/>
  <c r="J125" i="30"/>
  <c r="I125" i="30"/>
  <c r="I124" i="30"/>
  <c r="I123" i="30"/>
  <c r="I119" i="30"/>
  <c r="I118" i="30"/>
  <c r="H117" i="30"/>
  <c r="G117" i="30"/>
  <c r="J116" i="30"/>
  <c r="I116" i="30"/>
  <c r="I115" i="30"/>
  <c r="I114" i="30"/>
  <c r="I112" i="30"/>
  <c r="I111" i="30"/>
  <c r="J110" i="30"/>
  <c r="H110" i="30"/>
  <c r="G110" i="30"/>
  <c r="I109" i="30"/>
  <c r="I108" i="30"/>
  <c r="H107" i="30"/>
  <c r="G107" i="30"/>
  <c r="I106" i="30"/>
  <c r="I105" i="30"/>
  <c r="J104" i="30"/>
  <c r="H104" i="30"/>
  <c r="G104" i="30"/>
  <c r="I103" i="30"/>
  <c r="I102" i="30"/>
  <c r="H101" i="30"/>
  <c r="G101" i="30"/>
  <c r="I100" i="30"/>
  <c r="I99" i="30"/>
  <c r="I101" i="30" s="1"/>
  <c r="J98" i="30"/>
  <c r="H98" i="30"/>
  <c r="G98" i="30"/>
  <c r="I97" i="30"/>
  <c r="I96" i="30"/>
  <c r="H95" i="30"/>
  <c r="G95" i="30"/>
  <c r="I94" i="30"/>
  <c r="I93" i="30"/>
  <c r="H92" i="30"/>
  <c r="G92" i="30"/>
  <c r="I91" i="30"/>
  <c r="I90" i="30"/>
  <c r="H89" i="30"/>
  <c r="G89" i="30"/>
  <c r="I88" i="30"/>
  <c r="I87" i="30"/>
  <c r="H86" i="30"/>
  <c r="G86" i="30"/>
  <c r="I85" i="30"/>
  <c r="I84" i="30"/>
  <c r="H82" i="30"/>
  <c r="G82" i="30"/>
  <c r="I81" i="30"/>
  <c r="I80" i="30"/>
  <c r="J79" i="30"/>
  <c r="H79" i="30"/>
  <c r="G79" i="30"/>
  <c r="I78" i="30"/>
  <c r="I77" i="30"/>
  <c r="H75" i="30"/>
  <c r="G75" i="30"/>
  <c r="I74" i="30"/>
  <c r="I73" i="30"/>
  <c r="J72" i="30"/>
  <c r="H72" i="30"/>
  <c r="G72" i="30"/>
  <c r="I71" i="30"/>
  <c r="I70" i="30"/>
  <c r="H68" i="30"/>
  <c r="G68" i="30"/>
  <c r="I67" i="30"/>
  <c r="I66" i="30"/>
  <c r="J65" i="30"/>
  <c r="H65" i="30"/>
  <c r="G65" i="30"/>
  <c r="I64" i="30"/>
  <c r="I63" i="30"/>
  <c r="I65" i="30" s="1"/>
  <c r="H61" i="30"/>
  <c r="G61" i="30"/>
  <c r="I60" i="30"/>
  <c r="I59" i="30"/>
  <c r="I61" i="30" s="1"/>
  <c r="J58" i="30"/>
  <c r="H58" i="30"/>
  <c r="G58" i="30"/>
  <c r="I57" i="30"/>
  <c r="I56" i="30"/>
  <c r="H54" i="30"/>
  <c r="G54" i="30"/>
  <c r="I53" i="30"/>
  <c r="I52" i="30"/>
  <c r="I54" i="30" s="1"/>
  <c r="H51" i="30"/>
  <c r="G51" i="30"/>
  <c r="I50" i="30"/>
  <c r="I49" i="30"/>
  <c r="H47" i="30"/>
  <c r="G47" i="30"/>
  <c r="F47" i="30"/>
  <c r="I46" i="30"/>
  <c r="I45" i="30"/>
  <c r="I44" i="30"/>
  <c r="I43" i="30"/>
  <c r="I42" i="30"/>
  <c r="H40" i="30"/>
  <c r="G40" i="30"/>
  <c r="F40" i="30"/>
  <c r="I39" i="30"/>
  <c r="I38" i="30"/>
  <c r="I37" i="30" s="1"/>
  <c r="J37" i="30"/>
  <c r="H37" i="30"/>
  <c r="G37" i="30"/>
  <c r="F37" i="30"/>
  <c r="I33" i="30"/>
  <c r="H33" i="30"/>
  <c r="G33" i="30"/>
  <c r="F33" i="30"/>
  <c r="J30" i="30"/>
  <c r="H30" i="30"/>
  <c r="G30" i="30"/>
  <c r="F30" i="30"/>
  <c r="I29" i="30"/>
  <c r="I28" i="30"/>
  <c r="I26" i="30"/>
  <c r="H26" i="30"/>
  <c r="G26" i="30"/>
  <c r="F26" i="30"/>
  <c r="J23" i="30"/>
  <c r="H23" i="30"/>
  <c r="G23" i="30"/>
  <c r="F23" i="30"/>
  <c r="I22" i="30"/>
  <c r="I21" i="30"/>
  <c r="I19" i="30"/>
  <c r="H19" i="30"/>
  <c r="G19" i="30"/>
  <c r="F19" i="30"/>
  <c r="J16" i="30"/>
  <c r="H16" i="30"/>
  <c r="G16" i="30"/>
  <c r="F16" i="30"/>
  <c r="I15" i="30"/>
  <c r="I14" i="30"/>
  <c r="F38" i="36"/>
  <c r="G38" i="36" s="1"/>
  <c r="E38" i="36"/>
  <c r="D38" i="36"/>
  <c r="G37" i="36"/>
  <c r="G36" i="36"/>
  <c r="G35" i="36"/>
  <c r="G34" i="36"/>
  <c r="G33" i="36"/>
  <c r="G32" i="36"/>
  <c r="F28" i="36"/>
  <c r="E28" i="36"/>
  <c r="D28" i="36"/>
  <c r="G28" i="36" s="1"/>
  <c r="G27" i="36"/>
  <c r="G26" i="36"/>
  <c r="G25" i="36"/>
  <c r="G24" i="36"/>
  <c r="G23" i="36"/>
  <c r="G22" i="36"/>
  <c r="G17" i="36"/>
  <c r="F17" i="36"/>
  <c r="E17" i="36"/>
  <c r="D17" i="36"/>
  <c r="F16" i="36"/>
  <c r="E16" i="36"/>
  <c r="D16" i="36"/>
  <c r="G16" i="36" s="1"/>
  <c r="F15" i="36"/>
  <c r="G15" i="36" s="1"/>
  <c r="E15" i="36"/>
  <c r="D15" i="36"/>
  <c r="F14" i="36"/>
  <c r="E14" i="36"/>
  <c r="D14" i="36"/>
  <c r="G14" i="36" s="1"/>
  <c r="G13" i="36"/>
  <c r="F13" i="36"/>
  <c r="E13" i="36"/>
  <c r="D13" i="36"/>
  <c r="F12" i="36"/>
  <c r="F18" i="36" s="1"/>
  <c r="E12" i="36"/>
  <c r="E18" i="36" s="1"/>
  <c r="D12" i="36"/>
  <c r="D18" i="36" s="1"/>
  <c r="G18" i="36" s="1"/>
  <c r="L62" i="31"/>
  <c r="K62" i="31"/>
  <c r="J62" i="31"/>
  <c r="I62" i="31"/>
  <c r="H62" i="31"/>
  <c r="G62" i="31"/>
  <c r="F62" i="31"/>
  <c r="E62" i="31"/>
  <c r="D62" i="31"/>
  <c r="L54" i="31"/>
  <c r="K54" i="31"/>
  <c r="J54" i="31"/>
  <c r="I54" i="31"/>
  <c r="H54" i="31"/>
  <c r="G54" i="31"/>
  <c r="F54" i="31"/>
  <c r="E54" i="31"/>
  <c r="D54" i="31"/>
  <c r="L46" i="31"/>
  <c r="K46" i="31"/>
  <c r="J46" i="31"/>
  <c r="I46" i="31"/>
  <c r="H46" i="31"/>
  <c r="G46" i="31"/>
  <c r="F46" i="31"/>
  <c r="E46" i="31"/>
  <c r="D46" i="31"/>
  <c r="L38" i="31"/>
  <c r="K38" i="31"/>
  <c r="J38" i="31"/>
  <c r="I38" i="31"/>
  <c r="H38" i="31"/>
  <c r="G38" i="31"/>
  <c r="F38" i="31"/>
  <c r="E38" i="31"/>
  <c r="D38" i="31"/>
  <c r="L30" i="31"/>
  <c r="K30" i="31"/>
  <c r="J30" i="31"/>
  <c r="J14" i="31" s="1"/>
  <c r="I30" i="31"/>
  <c r="H30" i="31"/>
  <c r="G30" i="31"/>
  <c r="F30" i="31"/>
  <c r="E30" i="31"/>
  <c r="D30" i="31"/>
  <c r="L22" i="31"/>
  <c r="K22" i="31"/>
  <c r="J22" i="31"/>
  <c r="I22" i="31"/>
  <c r="H22" i="31"/>
  <c r="F22" i="31"/>
  <c r="E22" i="31"/>
  <c r="E14" i="31" s="1"/>
  <c r="D22" i="31"/>
  <c r="J20" i="31"/>
  <c r="I20" i="31"/>
  <c r="H20" i="31"/>
  <c r="G20" i="31"/>
  <c r="F20" i="31"/>
  <c r="E20" i="31"/>
  <c r="D20" i="31"/>
  <c r="L19" i="31"/>
  <c r="K19" i="31"/>
  <c r="J19" i="31"/>
  <c r="I19" i="31"/>
  <c r="H19" i="31"/>
  <c r="G19" i="31"/>
  <c r="F19" i="31"/>
  <c r="E19" i="31"/>
  <c r="D19" i="31"/>
  <c r="L18" i="31"/>
  <c r="K18" i="31"/>
  <c r="J18" i="31"/>
  <c r="I18" i="31"/>
  <c r="H18" i="31"/>
  <c r="G18" i="31"/>
  <c r="F18" i="31"/>
  <c r="E18" i="31"/>
  <c r="D18" i="31"/>
  <c r="L17" i="31"/>
  <c r="J17" i="31"/>
  <c r="I17" i="31"/>
  <c r="H17" i="31"/>
  <c r="E17" i="31"/>
  <c r="L16" i="31"/>
  <c r="K16" i="31"/>
  <c r="J16" i="31"/>
  <c r="I16" i="31"/>
  <c r="H16" i="31"/>
  <c r="G16" i="31"/>
  <c r="F16" i="31"/>
  <c r="E16" i="31"/>
  <c r="D16" i="31"/>
  <c r="L15" i="31"/>
  <c r="K15" i="31"/>
  <c r="J15" i="31"/>
  <c r="I15" i="31"/>
  <c r="H15" i="31"/>
  <c r="G15" i="31"/>
  <c r="F15" i="31"/>
  <c r="E15" i="31"/>
  <c r="D15" i="31"/>
  <c r="L14" i="31"/>
  <c r="K14" i="31"/>
  <c r="M45" i="27"/>
  <c r="L45" i="27"/>
  <c r="K45" i="27"/>
  <c r="J45" i="27"/>
  <c r="I45" i="27"/>
  <c r="H45" i="27"/>
  <c r="G45" i="27"/>
  <c r="F45" i="27"/>
  <c r="E45" i="27"/>
  <c r="H39" i="27"/>
  <c r="F39" i="27"/>
  <c r="E39" i="27"/>
  <c r="K34" i="27"/>
  <c r="H34" i="27"/>
  <c r="H29" i="27" s="1"/>
  <c r="L29" i="27"/>
  <c r="K29" i="27"/>
  <c r="J29" i="27"/>
  <c r="I29" i="27"/>
  <c r="G29" i="27"/>
  <c r="F29" i="27"/>
  <c r="E29" i="27"/>
  <c r="M20" i="27"/>
  <c r="L20" i="27"/>
  <c r="K20" i="27"/>
  <c r="J20" i="27"/>
  <c r="I20" i="27"/>
  <c r="H20" i="27"/>
  <c r="G20" i="27"/>
  <c r="F20" i="27"/>
  <c r="E20" i="27"/>
  <c r="M14" i="27"/>
  <c r="L14" i="27"/>
  <c r="K14" i="27"/>
  <c r="J14" i="27"/>
  <c r="I14" i="27"/>
  <c r="H14" i="27"/>
  <c r="G14" i="27"/>
  <c r="E14" i="27"/>
  <c r="G50" i="3" l="1"/>
  <c r="H52" i="3"/>
  <c r="I50" i="3"/>
  <c r="J52" i="3"/>
  <c r="E52" i="3"/>
  <c r="I52" i="3"/>
  <c r="D52" i="3"/>
  <c r="F52" i="3"/>
  <c r="D50" i="3"/>
  <c r="G52" i="3"/>
  <c r="L21" i="44"/>
  <c r="L20" i="44"/>
  <c r="K25" i="44"/>
  <c r="L19" i="44"/>
  <c r="L13" i="44"/>
  <c r="G25" i="44"/>
  <c r="H25" i="44"/>
  <c r="J25" i="44"/>
  <c r="L40" i="44"/>
  <c r="L24" i="44"/>
  <c r="L55" i="44"/>
  <c r="F25" i="44"/>
  <c r="L17" i="44"/>
  <c r="L18" i="44"/>
  <c r="D14" i="29"/>
  <c r="F19" i="29"/>
  <c r="F22" i="29"/>
  <c r="F15" i="29"/>
  <c r="F16" i="29"/>
  <c r="F17" i="29"/>
  <c r="F18" i="29"/>
  <c r="F14" i="29" s="1"/>
  <c r="H14" i="31"/>
  <c r="D14" i="31"/>
  <c r="F14" i="31"/>
  <c r="I95" i="30"/>
  <c r="I58" i="30"/>
  <c r="I126" i="30"/>
  <c r="I79" i="30"/>
  <c r="I92" i="30"/>
  <c r="I104" i="30"/>
  <c r="I117" i="30"/>
  <c r="I72" i="30"/>
  <c r="I23" i="30"/>
  <c r="I47" i="30"/>
  <c r="I14" i="31"/>
  <c r="I40" i="30"/>
  <c r="I51" i="30"/>
  <c r="I89" i="30"/>
  <c r="I30" i="30"/>
  <c r="I110" i="30"/>
  <c r="I82" i="30"/>
  <c r="I68" i="30"/>
  <c r="I86" i="30"/>
  <c r="I98" i="30"/>
  <c r="I107" i="30"/>
  <c r="I16" i="30"/>
  <c r="I75" i="30"/>
  <c r="F50" i="3"/>
  <c r="J50" i="3"/>
  <c r="E25" i="44"/>
  <c r="K13" i="37"/>
  <c r="K24" i="37" s="1"/>
  <c r="G12" i="36"/>
  <c r="L25" i="44" l="1"/>
  <c r="J23" i="40"/>
  <c r="O13" i="42" l="1"/>
  <c r="N13" i="42"/>
  <c r="M13" i="42"/>
  <c r="E45" i="39" l="1"/>
  <c r="H24" i="39"/>
  <c r="G24" i="39"/>
  <c r="F24" i="39"/>
  <c r="E24" i="39"/>
  <c r="D24" i="39"/>
  <c r="J24" i="39" s="1"/>
  <c r="I23" i="39"/>
  <c r="H23" i="39"/>
  <c r="G23" i="39"/>
  <c r="F23" i="39"/>
  <c r="E23" i="39"/>
  <c r="D23" i="39"/>
  <c r="I22" i="39"/>
  <c r="H22" i="39"/>
  <c r="G22" i="39"/>
  <c r="F22" i="39"/>
  <c r="E22" i="39"/>
  <c r="D22" i="39"/>
  <c r="I21" i="39"/>
  <c r="H21" i="39"/>
  <c r="F21" i="39"/>
  <c r="E21" i="39"/>
  <c r="D21" i="39"/>
  <c r="J21" i="39" s="1"/>
  <c r="I18" i="39"/>
  <c r="H18" i="39"/>
  <c r="G18" i="39"/>
  <c r="F18" i="39"/>
  <c r="E18" i="39"/>
  <c r="D18" i="39"/>
  <c r="I17" i="39"/>
  <c r="H17" i="39"/>
  <c r="G17" i="39"/>
  <c r="F17" i="39"/>
  <c r="E17" i="39"/>
  <c r="D17" i="39"/>
  <c r="I16" i="39"/>
  <c r="H16" i="39"/>
  <c r="G16" i="39"/>
  <c r="F16" i="39"/>
  <c r="E16" i="39"/>
  <c r="D16" i="39"/>
  <c r="I15" i="39"/>
  <c r="H15" i="39"/>
  <c r="G15" i="39"/>
  <c r="F15" i="39"/>
  <c r="E15" i="39"/>
  <c r="D15" i="39"/>
  <c r="I14" i="39"/>
  <c r="E14" i="39"/>
  <c r="D14" i="39"/>
  <c r="I13" i="39"/>
  <c r="H13" i="39"/>
  <c r="G13" i="39"/>
  <c r="F13" i="39"/>
  <c r="E13" i="39"/>
  <c r="J13" i="39" s="1"/>
  <c r="D13" i="39"/>
  <c r="I12" i="39"/>
  <c r="H12" i="39"/>
  <c r="G12" i="39"/>
  <c r="F12" i="39"/>
  <c r="E12" i="39"/>
  <c r="D12" i="39"/>
  <c r="I11" i="39"/>
  <c r="H11" i="39"/>
  <c r="G11" i="39"/>
  <c r="F11" i="39"/>
  <c r="E11" i="39"/>
  <c r="D11" i="39"/>
  <c r="G45" i="39"/>
  <c r="D45" i="39"/>
  <c r="L22" i="22"/>
  <c r="W50" i="19"/>
  <c r="X41" i="19"/>
  <c r="W41" i="19"/>
  <c r="W30" i="19"/>
  <c r="W28" i="19"/>
  <c r="W16" i="19"/>
  <c r="W14" i="19"/>
  <c r="K45" i="22"/>
  <c r="K37" i="22"/>
  <c r="K22" i="22"/>
  <c r="K17" i="22"/>
  <c r="K13" i="22"/>
  <c r="W49" i="8"/>
  <c r="W13" i="8"/>
  <c r="M14" i="26"/>
  <c r="L14" i="26"/>
  <c r="J14" i="26"/>
  <c r="X30" i="19"/>
  <c r="X28" i="19"/>
  <c r="I14" i="26"/>
  <c r="G14" i="26"/>
  <c r="V43" i="19"/>
  <c r="L45" i="22"/>
  <c r="J45" i="22"/>
  <c r="J22" i="22"/>
  <c r="F14" i="26"/>
  <c r="A1" i="10"/>
  <c r="O12" i="10"/>
  <c r="P12" i="10"/>
  <c r="Q12" i="10"/>
  <c r="R12" i="10"/>
  <c r="S12" i="10"/>
  <c r="O17" i="10"/>
  <c r="P17" i="10"/>
  <c r="Q17" i="10"/>
  <c r="R17" i="10"/>
  <c r="S17" i="10"/>
  <c r="O19" i="10"/>
  <c r="P19" i="10"/>
  <c r="Q19" i="10"/>
  <c r="R19" i="10"/>
  <c r="S19" i="10"/>
  <c r="O24" i="10"/>
  <c r="P24" i="10"/>
  <c r="Q24" i="10"/>
  <c r="R24" i="10"/>
  <c r="S24" i="10"/>
  <c r="O26" i="10"/>
  <c r="P26" i="10"/>
  <c r="Q26" i="10"/>
  <c r="R26" i="10"/>
  <c r="S26" i="10"/>
  <c r="O31" i="10"/>
  <c r="P31" i="10"/>
  <c r="Q31" i="10"/>
  <c r="R31" i="10"/>
  <c r="S31" i="10"/>
  <c r="O35" i="10"/>
  <c r="P35" i="10"/>
  <c r="Q35" i="10"/>
  <c r="R35" i="10"/>
  <c r="S35" i="10"/>
  <c r="T35" i="10"/>
  <c r="A54" i="10"/>
  <c r="D11" i="8"/>
  <c r="E11" i="8" s="1"/>
  <c r="F11" i="8" s="1"/>
  <c r="G11" i="8" s="1"/>
  <c r="H11" i="8" s="1"/>
  <c r="I11" i="8" s="1"/>
  <c r="J11" i="8" s="1"/>
  <c r="K11" i="8" s="1"/>
  <c r="C13" i="8"/>
  <c r="D13" i="8"/>
  <c r="E13" i="8"/>
  <c r="F13" i="8"/>
  <c r="G13" i="8"/>
  <c r="H13" i="8"/>
  <c r="J13" i="8"/>
  <c r="K13" i="8"/>
  <c r="L13" i="8"/>
  <c r="M13" i="8"/>
  <c r="N13" i="8"/>
  <c r="O13" i="8"/>
  <c r="P13" i="8"/>
  <c r="Q13" i="8"/>
  <c r="R13" i="8"/>
  <c r="T13" i="8"/>
  <c r="U13" i="8"/>
  <c r="V13" i="8"/>
  <c r="C30" i="8"/>
  <c r="D30" i="8"/>
  <c r="E30" i="8"/>
  <c r="F30" i="8"/>
  <c r="G30" i="8"/>
  <c r="H30" i="8"/>
  <c r="L30" i="8"/>
  <c r="M30" i="8"/>
  <c r="N30" i="8"/>
  <c r="O30" i="8"/>
  <c r="P30" i="8"/>
  <c r="R30" i="8"/>
  <c r="T30" i="8"/>
  <c r="U30" i="8"/>
  <c r="V30" i="8"/>
  <c r="U36" i="8"/>
  <c r="V36" i="8"/>
  <c r="U40" i="8"/>
  <c r="V40" i="8"/>
  <c r="J49" i="8"/>
  <c r="K49" i="8"/>
  <c r="L49" i="8"/>
  <c r="M49" i="8"/>
  <c r="N49" i="8"/>
  <c r="O49" i="8"/>
  <c r="P49" i="8"/>
  <c r="Q49" i="8"/>
  <c r="R49" i="8"/>
  <c r="T49" i="8"/>
  <c r="U49" i="8"/>
  <c r="V49" i="8"/>
  <c r="E30" i="7"/>
  <c r="F30" i="7"/>
  <c r="G30" i="7"/>
  <c r="H30" i="7"/>
  <c r="I30" i="7"/>
  <c r="E33" i="7"/>
  <c r="H33" i="7"/>
  <c r="I33" i="7"/>
  <c r="J33" i="7"/>
  <c r="K33" i="7"/>
  <c r="L33" i="7"/>
  <c r="M33" i="7"/>
  <c r="N33" i="7"/>
  <c r="O33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C13" i="22"/>
  <c r="D13" i="22"/>
  <c r="O49" i="22" s="1"/>
  <c r="E13" i="22"/>
  <c r="F13" i="22"/>
  <c r="G13" i="22"/>
  <c r="H13" i="22"/>
  <c r="R49" i="22" s="1"/>
  <c r="R50" i="22" s="1"/>
  <c r="J13" i="22"/>
  <c r="L13" i="22"/>
  <c r="C17" i="22"/>
  <c r="D17" i="22"/>
  <c r="E17" i="22"/>
  <c r="F17" i="22"/>
  <c r="G17" i="22"/>
  <c r="H17" i="22"/>
  <c r="J17" i="22"/>
  <c r="L17" i="22"/>
  <c r="C22" i="22"/>
  <c r="N49" i="22" s="1"/>
  <c r="D22" i="22"/>
  <c r="E22" i="22"/>
  <c r="F22" i="22"/>
  <c r="G22" i="22"/>
  <c r="H22" i="22"/>
  <c r="C37" i="22"/>
  <c r="D37" i="22"/>
  <c r="E37" i="22"/>
  <c r="F37" i="22"/>
  <c r="G37" i="22"/>
  <c r="H37" i="22"/>
  <c r="J37" i="22"/>
  <c r="L37" i="22"/>
  <c r="H45" i="22"/>
  <c r="I11" i="19"/>
  <c r="J11" i="19"/>
  <c r="K11" i="19" s="1"/>
  <c r="L11" i="19" s="1"/>
  <c r="I14" i="19"/>
  <c r="I79" i="19" s="1"/>
  <c r="I85" i="19" s="1"/>
  <c r="J14" i="19"/>
  <c r="K14" i="19"/>
  <c r="K79" i="19" s="1"/>
  <c r="L14" i="19"/>
  <c r="L79" i="19" s="1"/>
  <c r="H15" i="19"/>
  <c r="N15" i="19"/>
  <c r="O15" i="19"/>
  <c r="Q15" i="19"/>
  <c r="R15" i="19"/>
  <c r="S15" i="19"/>
  <c r="T15" i="19"/>
  <c r="AC15" i="19"/>
  <c r="F16" i="19"/>
  <c r="F14" i="19" s="1"/>
  <c r="F79" i="19" s="1"/>
  <c r="G16" i="19"/>
  <c r="G14" i="19" s="1"/>
  <c r="G79" i="19" s="1"/>
  <c r="X16" i="19"/>
  <c r="X14" i="19" s="1"/>
  <c r="D17" i="19"/>
  <c r="D16" i="19"/>
  <c r="D14" i="19" s="1"/>
  <c r="D79" i="19" s="1"/>
  <c r="E17" i="19"/>
  <c r="E16" i="19" s="1"/>
  <c r="E14" i="19" s="1"/>
  <c r="H17" i="19"/>
  <c r="H16" i="19" s="1"/>
  <c r="H14" i="19" s="1"/>
  <c r="H79" i="19" s="1"/>
  <c r="S17" i="19"/>
  <c r="T17" i="19"/>
  <c r="U17" i="19"/>
  <c r="V17" i="19"/>
  <c r="H18" i="19"/>
  <c r="M18" i="19"/>
  <c r="N18" i="19"/>
  <c r="O18" i="19"/>
  <c r="P18" i="19"/>
  <c r="R18" i="19"/>
  <c r="R16" i="19" s="1"/>
  <c r="S18" i="19"/>
  <c r="T18" i="19"/>
  <c r="U18" i="19"/>
  <c r="V18" i="19"/>
  <c r="N19" i="19"/>
  <c r="O19" i="19"/>
  <c r="P19" i="19"/>
  <c r="S19" i="19"/>
  <c r="T19" i="19"/>
  <c r="U19" i="19"/>
  <c r="V19" i="19"/>
  <c r="N23" i="19"/>
  <c r="O23" i="19"/>
  <c r="P23" i="19"/>
  <c r="Q23" i="19"/>
  <c r="Q16" i="19" s="1"/>
  <c r="R23" i="19"/>
  <c r="S23" i="19"/>
  <c r="T23" i="19"/>
  <c r="U23" i="19"/>
  <c r="V23" i="19"/>
  <c r="M24" i="19"/>
  <c r="N24" i="19"/>
  <c r="O24" i="19"/>
  <c r="S24" i="19"/>
  <c r="T24" i="19"/>
  <c r="U24" i="19"/>
  <c r="M25" i="19"/>
  <c r="N25" i="19"/>
  <c r="O25" i="19"/>
  <c r="P25" i="19"/>
  <c r="S25" i="19"/>
  <c r="U25" i="19"/>
  <c r="V25" i="19"/>
  <c r="N26" i="19"/>
  <c r="O26" i="19"/>
  <c r="P26" i="19"/>
  <c r="Q26" i="19"/>
  <c r="R26" i="19"/>
  <c r="S26" i="19"/>
  <c r="T26" i="19"/>
  <c r="U26" i="19"/>
  <c r="V26" i="19"/>
  <c r="D29" i="19"/>
  <c r="D28" i="19" s="1"/>
  <c r="D81" i="19" s="1"/>
  <c r="E29" i="19"/>
  <c r="F29" i="19"/>
  <c r="G29" i="19"/>
  <c r="H29" i="19"/>
  <c r="I29" i="19"/>
  <c r="J29" i="19"/>
  <c r="K29" i="19"/>
  <c r="M29" i="19"/>
  <c r="N29" i="19"/>
  <c r="O29" i="19"/>
  <c r="O28" i="19" s="1"/>
  <c r="O81" i="19" s="1"/>
  <c r="Q29" i="19"/>
  <c r="Q28" i="19" s="1"/>
  <c r="R29" i="19"/>
  <c r="R28" i="19" s="1"/>
  <c r="S29" i="19"/>
  <c r="T29" i="19"/>
  <c r="D30" i="19"/>
  <c r="E30" i="19"/>
  <c r="E28" i="19"/>
  <c r="E81" i="19" s="1"/>
  <c r="I30" i="19"/>
  <c r="J30" i="19"/>
  <c r="K30" i="19"/>
  <c r="L30" i="19"/>
  <c r="L28" i="19" s="1"/>
  <c r="L81" i="19" s="1"/>
  <c r="G31" i="19"/>
  <c r="G30" i="19" s="1"/>
  <c r="H31" i="19"/>
  <c r="S31" i="19"/>
  <c r="T31" i="19"/>
  <c r="T30" i="19" s="1"/>
  <c r="T28" i="19" s="1"/>
  <c r="U31" i="19"/>
  <c r="V31" i="19"/>
  <c r="G32" i="19"/>
  <c r="H32" i="19"/>
  <c r="M32" i="19"/>
  <c r="M30" i="19" s="1"/>
  <c r="M28" i="19" s="1"/>
  <c r="M81" i="19" s="1"/>
  <c r="N32" i="19"/>
  <c r="O32" i="19"/>
  <c r="P32" i="19"/>
  <c r="P30" i="19" s="1"/>
  <c r="P28" i="19" s="1"/>
  <c r="R32" i="19"/>
  <c r="S32" i="19"/>
  <c r="T32" i="19"/>
  <c r="U32" i="19"/>
  <c r="V32" i="19"/>
  <c r="M33" i="19"/>
  <c r="N33" i="19"/>
  <c r="O33" i="19"/>
  <c r="P33" i="19"/>
  <c r="S33" i="19"/>
  <c r="T33" i="19"/>
  <c r="V33" i="19"/>
  <c r="V30" i="19" s="1"/>
  <c r="V28" i="19" s="1"/>
  <c r="U33" i="19"/>
  <c r="F30" i="19"/>
  <c r="D39" i="19"/>
  <c r="D83" i="19" s="1"/>
  <c r="E39" i="19"/>
  <c r="F39" i="19"/>
  <c r="G39" i="19"/>
  <c r="H39" i="19"/>
  <c r="M39" i="19"/>
  <c r="N39" i="19"/>
  <c r="O39" i="19"/>
  <c r="Q39" i="19"/>
  <c r="R39" i="19"/>
  <c r="S39" i="19"/>
  <c r="T39" i="19"/>
  <c r="D41" i="19"/>
  <c r="E41" i="19"/>
  <c r="E83" i="19" s="1"/>
  <c r="F41" i="19"/>
  <c r="F83" i="19"/>
  <c r="I41" i="19"/>
  <c r="I83" i="19" s="1"/>
  <c r="J41" i="19"/>
  <c r="J83" i="19"/>
  <c r="K41" i="19"/>
  <c r="K83" i="19" s="1"/>
  <c r="L41" i="19"/>
  <c r="L83" i="19" s="1"/>
  <c r="V41" i="19"/>
  <c r="G42" i="19"/>
  <c r="H42" i="19"/>
  <c r="H41" i="19" s="1"/>
  <c r="H83" i="19" s="1"/>
  <c r="M42" i="19"/>
  <c r="M41" i="19" s="1"/>
  <c r="M83" i="19" s="1"/>
  <c r="N42" i="19"/>
  <c r="N41" i="19" s="1"/>
  <c r="N83" i="19" s="1"/>
  <c r="O42" i="19"/>
  <c r="G43" i="19"/>
  <c r="H43" i="19"/>
  <c r="M43" i="19"/>
  <c r="N43" i="19"/>
  <c r="O43" i="19"/>
  <c r="P43" i="19"/>
  <c r="Q43" i="19"/>
  <c r="Q41" i="19" s="1"/>
  <c r="R43" i="19"/>
  <c r="R41" i="19" s="1"/>
  <c r="S43" i="19"/>
  <c r="S41" i="19"/>
  <c r="T43" i="19"/>
  <c r="T41" i="19"/>
  <c r="U43" i="19"/>
  <c r="U41" i="19"/>
  <c r="P44" i="19"/>
  <c r="D52" i="19"/>
  <c r="E52" i="19"/>
  <c r="F52" i="19"/>
  <c r="G52" i="19"/>
  <c r="H52" i="19"/>
  <c r="M52" i="19"/>
  <c r="N52" i="19"/>
  <c r="O52" i="19"/>
  <c r="Q52" i="19"/>
  <c r="R52" i="19"/>
  <c r="S52" i="19"/>
  <c r="T52" i="19"/>
  <c r="T50" i="19" s="1"/>
  <c r="D54" i="19"/>
  <c r="D50" i="19" s="1"/>
  <c r="D77" i="19" s="1"/>
  <c r="E54" i="19"/>
  <c r="F54" i="19"/>
  <c r="F50" i="19" s="1"/>
  <c r="F77" i="19" s="1"/>
  <c r="G54" i="19"/>
  <c r="G50" i="19" s="1"/>
  <c r="G77" i="19" s="1"/>
  <c r="H54" i="19"/>
  <c r="M54" i="19"/>
  <c r="M50" i="19"/>
  <c r="M77" i="19" s="1"/>
  <c r="N54" i="19"/>
  <c r="O54" i="19"/>
  <c r="Q54" i="19"/>
  <c r="Q50" i="19" s="1"/>
  <c r="R54" i="19"/>
  <c r="R50" i="19" s="1"/>
  <c r="S54" i="19"/>
  <c r="T54" i="19"/>
  <c r="I50" i="19"/>
  <c r="I77" i="19"/>
  <c r="J50" i="19"/>
  <c r="J77" i="19"/>
  <c r="K50" i="19"/>
  <c r="K77" i="19"/>
  <c r="V50" i="19"/>
  <c r="I75" i="19"/>
  <c r="J75" i="19"/>
  <c r="K75" i="19"/>
  <c r="J79" i="19"/>
  <c r="A1" i="5"/>
  <c r="A69" i="22"/>
  <c r="A64" i="8" s="1"/>
  <c r="L77" i="19"/>
  <c r="Q49" i="22"/>
  <c r="S50" i="19"/>
  <c r="I28" i="19"/>
  <c r="I81" i="19"/>
  <c r="O50" i="19"/>
  <c r="O77" i="19" s="1"/>
  <c r="S30" i="19"/>
  <c r="U16" i="19"/>
  <c r="U14" i="19" s="1"/>
  <c r="J14" i="39"/>
  <c r="N16" i="19" l="1"/>
  <c r="N14" i="19" s="1"/>
  <c r="N79" i="19" s="1"/>
  <c r="M16" i="19"/>
  <c r="M14" i="19" s="1"/>
  <c r="M79" i="19" s="1"/>
  <c r="T14" i="19"/>
  <c r="F28" i="19"/>
  <c r="F81" i="19" s="1"/>
  <c r="E27" i="39"/>
  <c r="E28" i="39" s="1"/>
  <c r="R14" i="19"/>
  <c r="J17" i="39"/>
  <c r="J22" i="39"/>
  <c r="G41" i="19"/>
  <c r="G83" i="19" s="1"/>
  <c r="O16" i="19"/>
  <c r="O14" i="19" s="1"/>
  <c r="O79" i="19" s="1"/>
  <c r="S16" i="19"/>
  <c r="S14" i="19" s="1"/>
  <c r="T16" i="19"/>
  <c r="O50" i="22"/>
  <c r="P16" i="19"/>
  <c r="I27" i="39"/>
  <c r="I28" i="39" s="1"/>
  <c r="D27" i="39"/>
  <c r="O30" i="19"/>
  <c r="N50" i="19"/>
  <c r="N77" i="19" s="1"/>
  <c r="N30" i="19"/>
  <c r="N28" i="19" s="1"/>
  <c r="N81" i="19" s="1"/>
  <c r="H30" i="19"/>
  <c r="H28" i="19" s="1"/>
  <c r="H81" i="19" s="1"/>
  <c r="P41" i="19"/>
  <c r="K28" i="19"/>
  <c r="K81" i="19" s="1"/>
  <c r="K85" i="19" s="1"/>
  <c r="V16" i="19"/>
  <c r="V14" i="19" s="1"/>
  <c r="E79" i="19"/>
  <c r="G27" i="39"/>
  <c r="G28" i="39" s="1"/>
  <c r="U30" i="19"/>
  <c r="U28" i="19" s="1"/>
  <c r="J18" i="39"/>
  <c r="O41" i="19"/>
  <c r="O83" i="19" s="1"/>
  <c r="J12" i="39"/>
  <c r="J23" i="39"/>
  <c r="S28" i="19"/>
  <c r="E50" i="19"/>
  <c r="E77" i="19" s="1"/>
  <c r="J28" i="19"/>
  <c r="J81" i="19" s="1"/>
  <c r="J85" i="19" s="1"/>
  <c r="J16" i="39"/>
  <c r="H50" i="19"/>
  <c r="H77" i="19" s="1"/>
  <c r="G28" i="19"/>
  <c r="G81" i="19" s="1"/>
  <c r="P49" i="22"/>
  <c r="P50" i="22" s="1"/>
  <c r="L85" i="19"/>
  <c r="D28" i="39"/>
  <c r="F27" i="39"/>
  <c r="F28" i="39" s="1"/>
  <c r="H27" i="39"/>
  <c r="H28" i="39" s="1"/>
  <c r="J11" i="39"/>
  <c r="J15" i="39"/>
  <c r="Q50" i="22" l="1"/>
  <c r="D29" i="39"/>
  <c r="J27" i="39"/>
  <c r="J28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theodore_eu</author>
  </authors>
  <commentList>
    <comment ref="R16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16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24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Questionnaire. The figure also represents Primary &amp; High School</t>
        </r>
      </text>
    </comment>
    <comment ref="S26" authorId="0" shapeId="0" xr:uid="{00000000-0006-0000-0D00-000004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</t>
        </r>
      </text>
    </comment>
  </commentList>
</comments>
</file>

<file path=xl/sharedStrings.xml><?xml version="1.0" encoding="utf-8"?>
<sst xmlns="http://schemas.openxmlformats.org/spreadsheetml/2006/main" count="1316" uniqueCount="366">
  <si>
    <t xml:space="preserve"> </t>
  </si>
  <si>
    <t>Primary</t>
  </si>
  <si>
    <t>Secondary</t>
  </si>
  <si>
    <t>TOTAL</t>
  </si>
  <si>
    <t>Government</t>
  </si>
  <si>
    <t>Private</t>
  </si>
  <si>
    <t>All Schools</t>
  </si>
  <si>
    <t>Males</t>
  </si>
  <si>
    <t>Females</t>
  </si>
  <si>
    <t>SOURCE:  Education Department, Cayman Islands Government</t>
  </si>
  <si>
    <t>Students</t>
  </si>
  <si>
    <t>Teachers</t>
  </si>
  <si>
    <t>PRIVATE SCHOOLS</t>
  </si>
  <si>
    <t>(all year groups)</t>
  </si>
  <si>
    <t>Special Education</t>
  </si>
  <si>
    <t>Lighthouse School</t>
  </si>
  <si>
    <t>Grand Cayman</t>
  </si>
  <si>
    <t>Enrollment</t>
  </si>
  <si>
    <t>Cayman Brac</t>
  </si>
  <si>
    <t>Notes</t>
  </si>
  <si>
    <t>Tertiary Institutions</t>
  </si>
  <si>
    <t>Community College of The Cayman Islands</t>
  </si>
  <si>
    <t>International College of The Cayman Islands</t>
  </si>
  <si>
    <t>Cayman Islands Law School</t>
  </si>
  <si>
    <t>Total</t>
  </si>
  <si>
    <t>Male</t>
  </si>
  <si>
    <t>Female</t>
  </si>
  <si>
    <t>School Staff</t>
  </si>
  <si>
    <t>1996 (SSR)</t>
  </si>
  <si>
    <t>Recurrent</t>
  </si>
  <si>
    <t>Expenditure</t>
  </si>
  <si>
    <t>2.03c</t>
  </si>
  <si>
    <t>The International College of The Cayman Islands</t>
  </si>
  <si>
    <t xml:space="preserve">Males </t>
  </si>
  <si>
    <t>Associates Degree</t>
  </si>
  <si>
    <t>Business Studies</t>
  </si>
  <si>
    <t>Hospitality</t>
  </si>
  <si>
    <t>B.S.c.</t>
  </si>
  <si>
    <t>Other</t>
  </si>
  <si>
    <t>Masters</t>
  </si>
  <si>
    <t>MBA</t>
  </si>
  <si>
    <t>Science</t>
  </si>
  <si>
    <t>Full-time Certificate/Diploma courses</t>
  </si>
  <si>
    <t>Technology</t>
  </si>
  <si>
    <t>General Studies Department</t>
  </si>
  <si>
    <t>A-Levels</t>
  </si>
  <si>
    <t>Full-time</t>
  </si>
  <si>
    <t>Part-time</t>
  </si>
  <si>
    <t>Professional Development</t>
  </si>
  <si>
    <t>Accounting (AAT)</t>
  </si>
  <si>
    <t>Banking</t>
  </si>
  <si>
    <t>Insurance</t>
  </si>
  <si>
    <t>Administrative and Secretarial Practice</t>
  </si>
  <si>
    <t>Evening classes taken</t>
  </si>
  <si>
    <t>GCSE Repeaters (Full-time)</t>
  </si>
  <si>
    <t>…</t>
  </si>
  <si>
    <t>Caymanian</t>
  </si>
  <si>
    <t>Non-Caymanian</t>
  </si>
  <si>
    <t>Graduates</t>
  </si>
  <si>
    <t>Honours Degree</t>
  </si>
  <si>
    <t>Diploma Programme</t>
  </si>
  <si>
    <t>Professional Practice</t>
  </si>
  <si>
    <t>Total Staff</t>
  </si>
  <si>
    <t>Examination Results</t>
  </si>
  <si>
    <t>GCE A-Level</t>
  </si>
  <si>
    <t>Entries</t>
  </si>
  <si>
    <t>Passes</t>
  </si>
  <si>
    <t>(Percent)</t>
  </si>
  <si>
    <t>GCE OA and O Level</t>
  </si>
  <si>
    <t>Higher level Passes</t>
  </si>
  <si>
    <t>All Passes</t>
  </si>
  <si>
    <t>GCSE/CXC General &amp; Technical</t>
  </si>
  <si>
    <t>CE/CSE/CXC Basic</t>
  </si>
  <si>
    <t>All Exams</t>
  </si>
  <si>
    <t>All higher level passes</t>
  </si>
  <si>
    <t>All passes</t>
  </si>
  <si>
    <t>All Cayman Islands High Schools</t>
  </si>
  <si>
    <t>There was no graduating class in 1995, examinations were taken by repeat students only.</t>
  </si>
  <si>
    <t>-</t>
  </si>
  <si>
    <t>Wesleyan</t>
  </si>
  <si>
    <t>Truth for Youth</t>
  </si>
  <si>
    <t>Triple C</t>
  </si>
  <si>
    <t>First Baptist</t>
  </si>
  <si>
    <t>I.C.C.I.</t>
  </si>
  <si>
    <t>Law School</t>
  </si>
  <si>
    <t>Humanities</t>
  </si>
  <si>
    <t>Education</t>
  </si>
  <si>
    <t>Social &amp; Business Studies</t>
  </si>
  <si>
    <t>Professional</t>
  </si>
  <si>
    <t>Engineering, Technology &amp; Science</t>
  </si>
  <si>
    <t>Medicine &amp; Veterinary Studies</t>
  </si>
  <si>
    <t>All Students</t>
  </si>
  <si>
    <t>New scholarships granted in year</t>
  </si>
  <si>
    <t>Adult</t>
  </si>
  <si>
    <t>St. Ignatius</t>
  </si>
  <si>
    <t>Cayman Academy</t>
  </si>
  <si>
    <t xml:space="preserve">Applied Management Practice </t>
  </si>
  <si>
    <r>
      <t>A+ Computer Technician</t>
    </r>
    <r>
      <rPr>
        <vertAlign val="superscript"/>
        <sz val="10"/>
        <rFont val="Arial"/>
        <family val="2"/>
      </rPr>
      <t xml:space="preserve"> </t>
    </r>
  </si>
  <si>
    <t>Extension Services</t>
  </si>
  <si>
    <t>Source:  Community College of the Cayman Islands</t>
  </si>
  <si>
    <t>General Student</t>
  </si>
  <si>
    <t xml:space="preserve">Enrolment </t>
  </si>
  <si>
    <t>Microsoft Certified System Administrator</t>
  </si>
  <si>
    <t>2.04a</t>
  </si>
  <si>
    <t xml:space="preserve">Network </t>
  </si>
  <si>
    <t xml:space="preserve">Security </t>
  </si>
  <si>
    <t>Renamed University College of the Cayman Islands in 2005.</t>
  </si>
  <si>
    <t>Due to low enrolment and insufficient funds this course was not offered in 1999 - 2002.</t>
  </si>
  <si>
    <t>..</t>
  </si>
  <si>
    <t xml:space="preserve"> - </t>
  </si>
  <si>
    <t xml:space="preserve">. . </t>
  </si>
  <si>
    <t>STATISTICAL COMPENDIUM 2007</t>
  </si>
  <si>
    <t>. .</t>
  </si>
  <si>
    <t>.  .</t>
  </si>
  <si>
    <t>Cayman Prep &amp; High School</t>
  </si>
  <si>
    <t xml:space="preserve">MCSE Microsoft Certified Comp. Engineer </t>
  </si>
  <si>
    <r>
      <t>Nursing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</si>
  <si>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Colleges</t>
  </si>
  <si>
    <t>Note:</t>
  </si>
  <si>
    <t>Notes:</t>
  </si>
  <si>
    <t>Associate Degree</t>
  </si>
  <si>
    <t>Accounting Technician</t>
  </si>
  <si>
    <t>Computer Technician</t>
  </si>
  <si>
    <t xml:space="preserve">Computer Application </t>
  </si>
  <si>
    <t>Electro-Technolgy</t>
  </si>
  <si>
    <t>Certificate in Management Practice</t>
  </si>
  <si>
    <t>Cayman Banking Certificate</t>
  </si>
  <si>
    <t>Legal Secretarial Programme</t>
  </si>
  <si>
    <t>Certificate in Offshore Administration</t>
  </si>
  <si>
    <t>Academic Programme</t>
  </si>
  <si>
    <t>Bachelors Degree</t>
  </si>
  <si>
    <t>Full Time</t>
  </si>
  <si>
    <t>Part Time</t>
  </si>
  <si>
    <t>Construction Technology</t>
  </si>
  <si>
    <t xml:space="preserve">Financial Services Certificate </t>
  </si>
  <si>
    <t>Professional Programme - all students are part time</t>
  </si>
  <si>
    <r>
      <t>Enrollment in Tertiary Institutions: Community College of the Cayman Islands,</t>
    </r>
    <r>
      <rPr>
        <vertAlign val="superscript"/>
        <sz val="12"/>
        <rFont val="Arial"/>
        <family val="2"/>
      </rPr>
      <t>1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1991 -  2003</t>
    </r>
  </si>
  <si>
    <t>of which:</t>
  </si>
  <si>
    <t>Percentage Chance</t>
  </si>
  <si>
    <t>(CI$000)</t>
  </si>
  <si>
    <t>0</t>
  </si>
  <si>
    <t>Diploma</t>
  </si>
  <si>
    <t>Professional Computer Courses</t>
  </si>
  <si>
    <t xml:space="preserve">. .  </t>
  </si>
  <si>
    <t xml:space="preserve">Executive </t>
  </si>
  <si>
    <t>Enrolment</t>
  </si>
  <si>
    <t>The Executive programme was introduced in 2008.</t>
  </si>
  <si>
    <t>External</t>
  </si>
  <si>
    <t>Ordinary Degree</t>
  </si>
  <si>
    <t>Staff</t>
  </si>
  <si>
    <t>Bachelors</t>
  </si>
  <si>
    <t>admission criteria.</t>
  </si>
  <si>
    <t xml:space="preserve">Certificate Programme - all students are full time. During 2007 admission was unusally  high due to lowering of the </t>
  </si>
  <si>
    <t>UCCI</t>
  </si>
  <si>
    <t>George Town</t>
  </si>
  <si>
    <t>West Bay</t>
  </si>
  <si>
    <t>Bodden Town</t>
  </si>
  <si>
    <t>North Side</t>
  </si>
  <si>
    <t>East End</t>
  </si>
  <si>
    <t>Circulation Statistics</t>
  </si>
  <si>
    <t>Check Ins</t>
  </si>
  <si>
    <t>Check Outs</t>
  </si>
  <si>
    <r>
      <t>Certificate Programme</t>
    </r>
    <r>
      <rPr>
        <b/>
        <vertAlign val="superscript"/>
        <sz val="10"/>
        <rFont val="Arial"/>
        <family val="2"/>
      </rPr>
      <t>1</t>
    </r>
  </si>
  <si>
    <r>
      <t>Professional Programme</t>
    </r>
    <r>
      <rPr>
        <b/>
        <vertAlign val="superscript"/>
        <sz val="10"/>
        <rFont val="Arial"/>
        <family val="2"/>
      </rPr>
      <t>2</t>
    </r>
  </si>
  <si>
    <r>
      <t>Executive Programme</t>
    </r>
    <r>
      <rPr>
        <b/>
        <vertAlign val="superscript"/>
        <sz val="10"/>
        <rFont val="Arial"/>
        <family val="2"/>
      </rPr>
      <t>3</t>
    </r>
  </si>
  <si>
    <r>
      <t>Continuing Education</t>
    </r>
    <r>
      <rPr>
        <b/>
        <vertAlign val="superscript"/>
        <sz val="10"/>
        <rFont val="Arial"/>
        <family val="2"/>
      </rPr>
      <t>4</t>
    </r>
  </si>
  <si>
    <t>STR</t>
  </si>
  <si>
    <t>Course:</t>
  </si>
  <si>
    <t>Status:</t>
  </si>
  <si>
    <t>Sex:</t>
  </si>
  <si>
    <t>Continuing education includes leisure courses with no matriculation requirements and do not lead to a degree, only for leisure or vocational purposes.</t>
  </si>
  <si>
    <t>Leisure courses which were  part of the continuing programme were discontinued.</t>
  </si>
  <si>
    <t>STATISTICAL COMPENDIUM 2011</t>
  </si>
  <si>
    <t xml:space="preserve">Note: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</si>
  <si>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</si>
  <si>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Law School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</si>
  <si>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University College of the Cayman Islands</t>
    </r>
  </si>
  <si>
    <t>Special Education All Levels</t>
  </si>
  <si>
    <t>Circulation refers to the number of books used</t>
  </si>
  <si>
    <t>2011*</t>
  </si>
  <si>
    <t>Teacher's Aide</t>
  </si>
  <si>
    <t>* 2011 data are only for Jan-May 2011</t>
  </si>
  <si>
    <r>
      <t>Number of Settings Delivering Early Childhood Care and Education (ECCE)</t>
    </r>
    <r>
      <rPr>
        <b/>
        <vertAlign val="superscript"/>
        <sz val="10"/>
        <rFont val="Arial"/>
        <family val="2"/>
      </rPr>
      <t>1</t>
    </r>
  </si>
  <si>
    <t>ECCE Private Centres</t>
  </si>
  <si>
    <t>ECCE Settings in Private schools</t>
  </si>
  <si>
    <t>ECCE Settings in Public schools</t>
  </si>
  <si>
    <t>Starting in 2011 there was a change in the classifications of Pre-school and Day-Care centres to more accurately reflect the services they provided. As a consequence there was an increase in Pre-school/Day care Centres</t>
  </si>
  <si>
    <t>Source: Department of Education Services</t>
  </si>
  <si>
    <t>School -based Specialist Teachers</t>
  </si>
  <si>
    <t>Support Specialists</t>
  </si>
  <si>
    <t>National Results</t>
  </si>
  <si>
    <t>Percentage Cohort Performance at Attainment Thresholds</t>
  </si>
  <si>
    <t>%7+ Level 2 Passes</t>
  </si>
  <si>
    <t>%5+ Level 2 Passes</t>
  </si>
  <si>
    <t>%5+ Level 1 Passes</t>
  </si>
  <si>
    <t>%1+ Level 1 Pass</t>
  </si>
  <si>
    <t>%Level 2 English</t>
  </si>
  <si>
    <t>%Level 2 Mathematics</t>
  </si>
  <si>
    <t>District</t>
  </si>
  <si>
    <t>All Districts</t>
  </si>
  <si>
    <t>Sister Islands</t>
  </si>
  <si>
    <r>
      <t>Recept.</t>
    </r>
    <r>
      <rPr>
        <b/>
        <vertAlign val="superscript"/>
        <sz val="10"/>
        <rFont val="Arial"/>
        <family val="2"/>
      </rPr>
      <t>1</t>
    </r>
  </si>
  <si>
    <t>Schools</t>
  </si>
  <si>
    <t>1. Schools may cater for both Primary and Secondary age students so the number for 'Total schools' may not equal the sum of Primary and Secondary Schools</t>
  </si>
  <si>
    <t>%5+ Level 2 (including English and Math)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</si>
  <si>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Education, schools and colleges</t>
    </r>
  </si>
  <si>
    <t>3.02a</t>
  </si>
  <si>
    <t>STATISTICAL COMPENDIUM 2012</t>
  </si>
  <si>
    <t>3.02b</t>
  </si>
  <si>
    <t>3.06a</t>
  </si>
  <si>
    <t>3.06b</t>
  </si>
  <si>
    <t>Enrolment in Tertiary Institutions: The Cayman Islands Law School, 2007 - 2012</t>
  </si>
  <si>
    <t>Enrolment in Tertiary Institutions: University College of the Cayman Islands, 2007 - 2012</t>
  </si>
  <si>
    <t>Recurrent Expenditures on Education by Type of School, 2007 -  2012</t>
  </si>
  <si>
    <t>Grand Cayman Government High Schools (John Gray/Clifton Hunter)</t>
  </si>
  <si>
    <t>Cayman Brac High Schools (Layman Scott High School)</t>
  </si>
  <si>
    <t>Hope</t>
  </si>
  <si>
    <t>Cayman International School</t>
  </si>
  <si>
    <t>Grace Christian Academy</t>
  </si>
  <si>
    <t>CIFEC</t>
  </si>
  <si>
    <r>
      <t>Secondary</t>
    </r>
    <r>
      <rPr>
        <b/>
        <vertAlign val="superscript"/>
        <sz val="10"/>
        <rFont val="Arial"/>
        <family val="2"/>
      </rPr>
      <t>2</t>
    </r>
  </si>
  <si>
    <t>2. There are no Secondary Schools in the districts of East End and Bodden Town</t>
  </si>
  <si>
    <t>All results are expressed as a percentage of the total cohort size and not just those students entered for the exam</t>
  </si>
  <si>
    <t>Ratio (F:M)</t>
  </si>
  <si>
    <t>3.01b</t>
  </si>
  <si>
    <t>Total ECCE Settings</t>
  </si>
  <si>
    <t xml:space="preserve">Age </t>
  </si>
  <si>
    <t>3 years</t>
  </si>
  <si>
    <t>4 years</t>
  </si>
  <si>
    <t>3.01a</t>
  </si>
  <si>
    <t>&gt;4 years</t>
  </si>
  <si>
    <t>2 years</t>
  </si>
  <si>
    <t>1 years</t>
  </si>
  <si>
    <t>&lt;1 years</t>
  </si>
  <si>
    <t>ECCE in Private Schools</t>
  </si>
  <si>
    <t>ECCE Centres</t>
  </si>
  <si>
    <t>Cayman Islands Total</t>
  </si>
  <si>
    <t>3.01c</t>
  </si>
  <si>
    <r>
      <t>Cohort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Size</t>
    </r>
  </si>
  <si>
    <t>Age</t>
  </si>
  <si>
    <t>Year 7</t>
  </si>
  <si>
    <t>Year 8</t>
  </si>
  <si>
    <t>Year 9</t>
  </si>
  <si>
    <t>Year 10</t>
  </si>
  <si>
    <t>Year 11</t>
  </si>
  <si>
    <t>Year 12</t>
  </si>
  <si>
    <t>Year 13</t>
  </si>
  <si>
    <t>As of September</t>
  </si>
  <si>
    <t>In house Use</t>
  </si>
  <si>
    <t>Library Card  Holders</t>
  </si>
  <si>
    <t>Library</t>
  </si>
  <si>
    <t>CYA</t>
  </si>
  <si>
    <t>Members</t>
  </si>
  <si>
    <t>Adult Resident Library Card Holders</t>
  </si>
  <si>
    <t>Adult Non Resident Library Card Holders</t>
  </si>
  <si>
    <t>CYA Resident Library Card Holders</t>
  </si>
  <si>
    <t>CYA Non Resident Library Card Holders</t>
  </si>
  <si>
    <t>Institutional Card Holders</t>
  </si>
  <si>
    <t>Senior Resident Card Holders</t>
  </si>
  <si>
    <t>Homebound Resident Library Card Holders</t>
  </si>
  <si>
    <t>Total Card Holders</t>
  </si>
  <si>
    <t xml:space="preserve">Total Library Use Per Hour </t>
  </si>
  <si>
    <t xml:space="preserve">Library  </t>
  </si>
  <si>
    <t>Total/Hour</t>
  </si>
  <si>
    <t>10:00 - 11:00 AM</t>
  </si>
  <si>
    <t>11:00 - 12:00 PM</t>
  </si>
  <si>
    <t>12:00 - 1:00 PM</t>
  </si>
  <si>
    <t>1:00 - 2:00 PM</t>
  </si>
  <si>
    <t>2:00 -3:00 PM</t>
  </si>
  <si>
    <t>3:00 - 4:00 PM</t>
  </si>
  <si>
    <t>4:00 - 5:00 PM</t>
  </si>
  <si>
    <t>5:00 - 6:00 PM</t>
  </si>
  <si>
    <t>Saturday</t>
  </si>
  <si>
    <t>c</t>
  </si>
  <si>
    <t>Total Use by Branch</t>
  </si>
  <si>
    <t>Total Use Per Week</t>
  </si>
  <si>
    <t>Total Library Use 2012</t>
  </si>
  <si>
    <t>Library Visitors 2012</t>
  </si>
  <si>
    <t>IMI Auto Mechanics</t>
  </si>
  <si>
    <r>
      <t xml:space="preserve">Source: </t>
    </r>
    <r>
      <rPr>
        <sz val="10"/>
        <rFont val="Arial"/>
        <family val="2"/>
      </rPr>
      <t>Department of Education Services</t>
    </r>
  </si>
  <si>
    <t>Cohort refers to all students that were on roll on 1st January of that examination year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</si>
  <si>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</si>
  <si>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</si>
  <si>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 &amp; Private Centres delivering Early Childhood Care &amp; Education</t>
    </r>
  </si>
  <si>
    <t>Average No. of Entries for Students</t>
  </si>
  <si>
    <t>3.07a</t>
  </si>
  <si>
    <t>3.07b</t>
  </si>
  <si>
    <t>3.07c</t>
  </si>
  <si>
    <t>Library Card Holders and Members</t>
  </si>
  <si>
    <t>STATISTICAL COMPENDIUM 2013</t>
  </si>
  <si>
    <t>Circulation Statistics of the Public Libraries, 2010 - 2013</t>
  </si>
  <si>
    <t>Grade 6</t>
  </si>
  <si>
    <t>Teachers (Head Count)</t>
  </si>
  <si>
    <t>Teachers (Full Time Equivalent (FTE))</t>
  </si>
  <si>
    <t>STR (Head Count)</t>
  </si>
  <si>
    <t>STR (FTE)</t>
  </si>
  <si>
    <t>SEN Students per Special Education Specialist</t>
  </si>
  <si>
    <t>Government School Special Educational Needs (SEN)</t>
  </si>
  <si>
    <t>Student Teacher Ratio (STR) (Head Count)</t>
  </si>
  <si>
    <t>Note: Schools following the UK system have year groups from Year 1 to Year 6 whereas in schools following the US system the equivalent year groups are Kindergarten (K) and Grade 1 to Grade 6.</t>
  </si>
  <si>
    <t>Grade 1/ Year 2</t>
  </si>
  <si>
    <t>Grade 2/ Year 3</t>
  </si>
  <si>
    <t>Grade 3/ Year 4</t>
  </si>
  <si>
    <t>Grade 4/ Year 5</t>
  </si>
  <si>
    <t>Grade 5/ Year 6</t>
  </si>
  <si>
    <t>K'garten/ Year 1</t>
  </si>
  <si>
    <t>Please note the full time equivalent (FTE) staffing (included in the table from 2013) only includes classroom based staff for the proportion of their time spent teaching in the classroom.</t>
  </si>
  <si>
    <r>
      <t>Pre-College</t>
    </r>
    <r>
      <rPr>
        <b/>
        <vertAlign val="superscript"/>
        <sz val="10"/>
        <rFont val="Arial"/>
        <family val="2"/>
      </rPr>
      <t>5</t>
    </r>
  </si>
  <si>
    <t>ALL SCHOOLS (excluding Lighthouse School)</t>
  </si>
  <si>
    <t>GOVERNMENT SCHOOLS</t>
  </si>
  <si>
    <r>
      <rPr>
        <b/>
        <sz val="11"/>
        <color indexed="8"/>
        <rFont val="Arial"/>
        <family val="2"/>
      </rPr>
      <t>Source:</t>
    </r>
    <r>
      <rPr>
        <sz val="11"/>
        <color indexed="8"/>
        <rFont val="Arial"/>
        <family val="2"/>
      </rPr>
      <t xml:space="preserve"> Department of Education Services</t>
    </r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</si>
  <si>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Department of Education Services</t>
    </r>
  </si>
  <si>
    <t>Average No. Of Entries/ student</t>
  </si>
  <si>
    <t>Academic criteria was changed from measuring the number of passes to measuring the number of unique subjects achieved</t>
  </si>
  <si>
    <t>Homeschool</t>
  </si>
  <si>
    <t>HOMESCHOOL</t>
  </si>
  <si>
    <t>N/A</t>
  </si>
  <si>
    <r>
      <t>Secondary</t>
    </r>
    <r>
      <rPr>
        <b/>
        <vertAlign val="superscript"/>
        <sz val="10"/>
        <color theme="1"/>
        <rFont val="Arial"/>
        <family val="2"/>
      </rPr>
      <t>2</t>
    </r>
  </si>
  <si>
    <r>
      <t>Total schools</t>
    </r>
    <r>
      <rPr>
        <vertAlign val="superscript"/>
        <sz val="10"/>
        <color theme="1"/>
        <rFont val="Arial"/>
        <family val="2"/>
      </rPr>
      <t>1</t>
    </r>
  </si>
  <si>
    <t>Circulation refers to the number of books checked in, checked out or renewed.</t>
  </si>
  <si>
    <r>
      <t xml:space="preserve">Renewed books also appear in the </t>
    </r>
    <r>
      <rPr>
        <b/>
        <sz val="10"/>
        <rFont val="Arial"/>
        <family val="2"/>
      </rPr>
      <t>Check Outs</t>
    </r>
    <r>
      <rPr>
        <sz val="10"/>
        <rFont val="Arial"/>
        <family val="2"/>
      </rPr>
      <t xml:space="preserve"> column.</t>
    </r>
  </si>
  <si>
    <t>Total Use Per Year</t>
  </si>
  <si>
    <t>New Library Card Holders</t>
  </si>
  <si>
    <t>Total Members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</si>
  <si>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Senior and homebound card holders are included in adult membership figures.</t>
    </r>
  </si>
  <si>
    <r>
      <rPr>
        <b/>
        <sz val="10"/>
        <color theme="1"/>
        <rFont val="Arial"/>
        <family val="2"/>
      </rPr>
      <t>CYA -</t>
    </r>
    <r>
      <rPr>
        <sz val="10"/>
        <color theme="1"/>
        <rFont val="Arial"/>
        <family val="2"/>
      </rPr>
      <t xml:space="preserve"> Children &amp; Young Adults</t>
    </r>
  </si>
  <si>
    <r>
      <t>Accounting/General Business</t>
    </r>
    <r>
      <rPr>
        <vertAlign val="superscript"/>
        <sz val="10"/>
        <rFont val="Arial"/>
        <family val="2"/>
      </rPr>
      <t>2</t>
    </r>
  </si>
  <si>
    <t>Electro-Technology</t>
  </si>
  <si>
    <t>Social Work</t>
  </si>
  <si>
    <r>
      <t>Professional Programme</t>
    </r>
    <r>
      <rPr>
        <b/>
        <vertAlign val="superscript"/>
        <sz val="10"/>
        <rFont val="Arial"/>
        <family val="2"/>
      </rPr>
      <t>3</t>
    </r>
  </si>
  <si>
    <t>Specialised Contract Courses</t>
  </si>
  <si>
    <t>Executive Programme</t>
  </si>
  <si>
    <r>
      <t>Continuing Education/TVET</t>
    </r>
    <r>
      <rPr>
        <b/>
        <vertAlign val="superscript"/>
        <sz val="10"/>
        <rFont val="Arial"/>
        <family val="2"/>
      </rPr>
      <t>4</t>
    </r>
  </si>
  <si>
    <t>Certificate Programme - all students are full time.</t>
  </si>
  <si>
    <t>General Business Certificate introduced in 2018 to replace Accounting Certificate.</t>
  </si>
  <si>
    <t>Professional Programme - all students are part time. Will include specialised contract courses beginning in 2019.</t>
  </si>
  <si>
    <t>Continuing Education/TVET includes leisure, remedial and vocational courses with no matriculation requirements and do not lead to a degree. As of 2019, some technical/vocational programmes will lead to certifications.</t>
  </si>
  <si>
    <t>Pre-College - new category introduced in 2013.</t>
  </si>
  <si>
    <t>Enrolment recorded for the Compendium is based on the Fall semester of each academic year.</t>
  </si>
  <si>
    <t>A full time student is defined as any individual enrolled in 12 or more credit hours in the Fall/Spring semester. Students enrolled in at least 6 credit hours in Summer are also considered full time. All 1-year certificate, pre-college programme and Dual Entry students are considered full time.</t>
  </si>
  <si>
    <t>COMPENDIUM OF STATISTICS 2022</t>
  </si>
  <si>
    <t>TVET</t>
  </si>
  <si>
    <t>RESEMBID</t>
  </si>
  <si>
    <t>Continuing Education</t>
  </si>
  <si>
    <t>Early Childhood Care and Education Enrolment and Staffing 2014-2022</t>
  </si>
  <si>
    <t>Enrolment by Age and Gender, 2022</t>
  </si>
  <si>
    <t>Compulsory Schooling Statistics, 2022</t>
  </si>
  <si>
    <t>Compulsory Schooling Statistics, 2016-2022</t>
  </si>
  <si>
    <t>Student Teacher Ratios (STR), 2016 -  2022</t>
  </si>
  <si>
    <t>Library Visitors 2022</t>
  </si>
  <si>
    <t>Library Card Holders and Members, 2022</t>
  </si>
  <si>
    <r>
      <rPr>
        <b/>
        <sz val="10"/>
        <rFont val="Arial"/>
        <family val="2"/>
      </rPr>
      <t xml:space="preserve">Note : </t>
    </r>
    <r>
      <rPr>
        <sz val="10"/>
        <rFont val="Arial"/>
        <family val="2"/>
      </rPr>
      <t>Hourly door counts not available for 2022</t>
    </r>
  </si>
  <si>
    <r>
      <t>Teachers (Full Time Equivalent (FTE))</t>
    </r>
    <r>
      <rPr>
        <vertAlign val="superscript"/>
        <sz val="11"/>
        <rFont val="Arial"/>
        <family val="2"/>
      </rPr>
      <t>1</t>
    </r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</si>
  <si>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 Department of Education Service &amp; Private Schools</t>
    </r>
  </si>
  <si>
    <r>
      <t xml:space="preserve">Source: </t>
    </r>
    <r>
      <rPr>
        <sz val="11"/>
        <rFont val="Arial"/>
        <family val="2"/>
      </rPr>
      <t>Scholarship Secratariat</t>
    </r>
  </si>
  <si>
    <t>ECCE in Gov't Schools</t>
  </si>
  <si>
    <t>Students Studying Higher Education Overseas on Education Council Scholarships, 2016-2022</t>
  </si>
  <si>
    <t>Circulation Statistics of the Public Libraries, 2019 - 2022</t>
  </si>
  <si>
    <t>Early Childhood Care and Education (ECCE), Enrolment by District and Gender, 2014-2022</t>
  </si>
  <si>
    <t>Early Childhood Care and Education, Enrolment by Age and Gender, 2022</t>
  </si>
  <si>
    <t>Primary &amp; Secondary Education, Enrolment by Sector, Type of School and Gender, 2017-2022</t>
  </si>
  <si>
    <t>Primary and Secondary Education, Enrolment by Sector, Level of School, District and Gender, 2022</t>
  </si>
  <si>
    <t>3.02c: Government &amp; Private Primary School Enrolment by Age, Grade and Gender, 2022</t>
  </si>
  <si>
    <t>3.02d: Government &amp; Private Secondary School Enrolment by Age, Grade and Gender 2022</t>
  </si>
  <si>
    <t>Examination Results, Government High Schools 2015-2022</t>
  </si>
  <si>
    <t>Enrolment in Tertiary Institutions: University College of the Cayman Islands, 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</si>
</sst>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\-\ #\ \-"/>
    <numFmt numFmtId="167" formatCode="0.0"/>
    <numFmt numFmtId="168" formatCode="0.000"/>
    <numFmt numFmtId="169" formatCode="#,##0.0"/>
    <numFmt numFmtId="170" formatCode="#,##0.0_);\(#,##0.0\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Book Antiqua"/>
      <family val="1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Book Antiqua"/>
      <family val="1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color indexed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9"/>
      <color rgb="FF000000"/>
      <name val="Arial"/>
      <family val="2"/>
    </font>
    <font>
      <i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6" borderId="1" applyNumberFormat="0" applyAlignment="0" applyProtection="0"/>
    <xf numFmtId="0" fontId="38" fillId="17" borderId="2" applyNumberFormat="0" applyAlignment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6" borderId="0" applyNumberFormat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7" borderId="1" applyNumberFormat="0" applyAlignment="0" applyProtection="0"/>
    <xf numFmtId="0" fontId="45" fillId="0" borderId="6" applyNumberFormat="0" applyFill="0" applyAlignment="0" applyProtection="0"/>
    <xf numFmtId="0" fontId="46" fillId="7" borderId="0" applyNumberFormat="0" applyBorder="0" applyAlignment="0" applyProtection="0"/>
    <xf numFmtId="0" fontId="50" fillId="0" borderId="0"/>
    <xf numFmtId="0" fontId="4" fillId="0" borderId="0" applyAlignment="0" applyProtection="0"/>
    <xf numFmtId="0" fontId="4" fillId="0" borderId="0"/>
    <xf numFmtId="0" fontId="58" fillId="0" borderId="0"/>
    <xf numFmtId="0" fontId="4" fillId="0" borderId="0" applyAlignment="0" applyProtection="0"/>
    <xf numFmtId="0" fontId="4" fillId="0" borderId="0" applyAlignment="0" applyProtection="0"/>
    <xf numFmtId="0" fontId="4" fillId="0" borderId="0" applyAlignment="0" applyProtection="0"/>
    <xf numFmtId="0" fontId="4" fillId="0" borderId="0"/>
    <xf numFmtId="0" fontId="50" fillId="0" borderId="0" applyAlignment="0" applyProtection="0"/>
    <xf numFmtId="0" fontId="4" fillId="4" borderId="7" applyNumberFormat="0" applyFont="0" applyAlignment="0" applyProtection="0"/>
    <xf numFmtId="0" fontId="47" fillId="16" borderId="8" applyNumberFormat="0" applyAlignment="0" applyProtection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45" fillId="0" borderId="0" applyNumberFormat="0" applyFill="0" applyBorder="0" applyAlignment="0" applyProtection="0"/>
  </cellStyleXfs>
  <cellXfs count="662">
    <xf numFmtId="0" fontId="0" fillId="0" borderId="0" xfId="0"/>
    <xf numFmtId="0" fontId="5" fillId="0" borderId="0" xfId="0" applyFont="1"/>
    <xf numFmtId="0" fontId="0" fillId="0" borderId="10" xfId="0" applyBorder="1"/>
    <xf numFmtId="0" fontId="8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0" fillId="0" borderId="11" xfId="0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5" fontId="0" fillId="0" borderId="0" xfId="28" applyNumberFormat="1" applyFont="1" applyAlignment="1">
      <alignment horizontal="right"/>
    </xf>
    <xf numFmtId="0" fontId="4" fillId="0" borderId="0" xfId="0" applyFont="1"/>
    <xf numFmtId="165" fontId="0" fillId="0" borderId="0" xfId="28" applyNumberFormat="1" applyFont="1"/>
    <xf numFmtId="165" fontId="0" fillId="0" borderId="0" xfId="28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/>
    <xf numFmtId="166" fontId="0" fillId="0" borderId="0" xfId="0" applyNumberFormat="1" applyAlignment="1">
      <alignment horizontal="centerContinuous"/>
    </xf>
    <xf numFmtId="0" fontId="3" fillId="0" borderId="11" xfId="0" applyFont="1" applyBorder="1" applyAlignment="1">
      <alignment horizontal="center"/>
    </xf>
    <xf numFmtId="165" fontId="8" fillId="0" borderId="0" xfId="28" applyNumberFormat="1" applyFont="1" applyAlignment="1">
      <alignment horizontal="right"/>
    </xf>
    <xf numFmtId="165" fontId="7" fillId="0" borderId="0" xfId="28" applyNumberFormat="1" applyFont="1" applyAlignment="1">
      <alignment horizontal="right"/>
    </xf>
    <xf numFmtId="0" fontId="10" fillId="0" borderId="0" xfId="0" applyFont="1"/>
    <xf numFmtId="0" fontId="10" fillId="0" borderId="0" xfId="0" applyFo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Continuous"/>
    </xf>
    <xf numFmtId="165" fontId="3" fillId="0" borderId="0" xfId="28" applyNumberFormat="1" applyFont="1"/>
    <xf numFmtId="0" fontId="0" fillId="0" borderId="0" xfId="0" applyFill="1"/>
    <xf numFmtId="0" fontId="3" fillId="0" borderId="11" xfId="0" applyFont="1" applyBorder="1" applyAlignment="1">
      <alignment horizontal="left" wrapText="1"/>
    </xf>
    <xf numFmtId="0" fontId="6" fillId="0" borderId="0" xfId="0" applyFont="1"/>
    <xf numFmtId="165" fontId="0" fillId="0" borderId="0" xfId="28" applyNumberFormat="1" applyFont="1" applyAlignment="1">
      <alignment horizontal="center"/>
    </xf>
    <xf numFmtId="165" fontId="3" fillId="0" borderId="0" xfId="28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10" fillId="0" borderId="11" xfId="0" applyFont="1" applyBorder="1"/>
    <xf numFmtId="165" fontId="7" fillId="0" borderId="0" xfId="28" applyNumberFormat="1" applyFont="1"/>
    <xf numFmtId="0" fontId="7" fillId="0" borderId="11" xfId="0" applyFont="1" applyBorder="1"/>
    <xf numFmtId="0" fontId="5" fillId="0" borderId="0" xfId="0" applyFont="1" applyAlignment="1">
      <alignment horizontal="left"/>
    </xf>
    <xf numFmtId="0" fontId="7" fillId="0" borderId="11" xfId="0" applyFont="1" applyBorder="1" applyAlignment="1">
      <alignment horizontal="right"/>
    </xf>
    <xf numFmtId="0" fontId="7" fillId="0" borderId="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ill="1" applyBorder="1"/>
    <xf numFmtId="0" fontId="7" fillId="0" borderId="11" xfId="0" applyFont="1" applyFill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7" fillId="0" borderId="11" xfId="0" applyFont="1" applyFill="1" applyBorder="1" applyAlignment="1">
      <alignment horizontal="right"/>
    </xf>
    <xf numFmtId="0" fontId="7" fillId="0" borderId="11" xfId="0" applyNumberFormat="1" applyFont="1" applyBorder="1" applyAlignment="1">
      <alignment horizontal="right"/>
    </xf>
    <xf numFmtId="0" fontId="14" fillId="0" borderId="0" xfId="0" applyFont="1"/>
    <xf numFmtId="0" fontId="0" fillId="18" borderId="0" xfId="0" applyFill="1"/>
    <xf numFmtId="0" fontId="0" fillId="0" borderId="0" xfId="0" applyAlignment="1"/>
    <xf numFmtId="166" fontId="0" fillId="0" borderId="0" xfId="0" applyNumberFormat="1" applyAlignment="1"/>
    <xf numFmtId="165" fontId="4" fillId="0" borderId="0" xfId="28" applyNumberFormat="1" applyFill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7" fillId="0" borderId="0" xfId="0" applyFont="1" applyFill="1" applyBorder="1"/>
    <xf numFmtId="165" fontId="14" fillId="0" borderId="0" xfId="28" applyNumberFormat="1" applyFont="1" applyAlignment="1">
      <alignment horizontal="right"/>
    </xf>
    <xf numFmtId="164" fontId="14" fillId="0" borderId="0" xfId="28" applyNumberFormat="1" applyFont="1" applyAlignment="1">
      <alignment horizontal="center"/>
    </xf>
    <xf numFmtId="164" fontId="14" fillId="0" borderId="0" xfId="28" applyNumberFormat="1" applyFont="1" applyAlignment="1">
      <alignment horizontal="right"/>
    </xf>
    <xf numFmtId="165" fontId="4" fillId="0" borderId="0" xfId="28" applyNumberFormat="1"/>
    <xf numFmtId="165" fontId="4" fillId="0" borderId="0" xfId="28" applyNumberFormat="1" applyFont="1"/>
    <xf numFmtId="0" fontId="7" fillId="0" borderId="0" xfId="0" applyFont="1" applyAlignment="1">
      <alignment horizontal="left"/>
    </xf>
    <xf numFmtId="165" fontId="4" fillId="0" borderId="10" xfId="28" applyNumberFormat="1" applyFont="1" applyBorder="1"/>
    <xf numFmtId="0" fontId="20" fillId="0" borderId="0" xfId="0" applyFont="1" applyAlignment="1">
      <alignment horizontal="right"/>
    </xf>
    <xf numFmtId="165" fontId="4" fillId="0" borderId="0" xfId="28" applyNumberFormat="1" applyFont="1" applyBorder="1"/>
    <xf numFmtId="0" fontId="7" fillId="0" borderId="0" xfId="0" applyFont="1" applyAlignment="1">
      <alignment horizontal="left" indent="1"/>
    </xf>
    <xf numFmtId="164" fontId="9" fillId="0" borderId="0" xfId="28" applyNumberFormat="1" applyFont="1" applyAlignment="1">
      <alignment horizontal="center"/>
    </xf>
    <xf numFmtId="38" fontId="3" fillId="0" borderId="0" xfId="28" applyNumberFormat="1" applyFont="1"/>
    <xf numFmtId="38" fontId="22" fillId="0" borderId="0" xfId="28" applyNumberFormat="1" applyFont="1"/>
    <xf numFmtId="38" fontId="22" fillId="0" borderId="0" xfId="0" applyNumberFormat="1" applyFont="1"/>
    <xf numFmtId="38" fontId="7" fillId="0" borderId="0" xfId="0" applyNumberFormat="1" applyFont="1"/>
    <xf numFmtId="38" fontId="0" fillId="0" borderId="0" xfId="0" applyNumberFormat="1"/>
    <xf numFmtId="38" fontId="0" fillId="0" borderId="0" xfId="28" applyNumberFormat="1" applyFont="1"/>
    <xf numFmtId="38" fontId="14" fillId="0" borderId="0" xfId="28" applyNumberFormat="1" applyFont="1" applyAlignment="1">
      <alignment horizontal="right"/>
    </xf>
    <xf numFmtId="38" fontId="7" fillId="0" borderId="0" xfId="28" applyNumberFormat="1" applyFont="1"/>
    <xf numFmtId="38" fontId="9" fillId="0" borderId="0" xfId="28" applyNumberFormat="1" applyFont="1" applyAlignment="1">
      <alignment horizontal="right"/>
    </xf>
    <xf numFmtId="38" fontId="7" fillId="0" borderId="0" xfId="0" applyNumberFormat="1" applyFont="1" applyAlignment="1">
      <alignment horizontal="right"/>
    </xf>
    <xf numFmtId="38" fontId="0" fillId="0" borderId="0" xfId="0" applyNumberFormat="1" applyAlignment="1">
      <alignment horizontal="right"/>
    </xf>
    <xf numFmtId="38" fontId="22" fillId="0" borderId="0" xfId="0" applyNumberFormat="1" applyFont="1" applyFill="1"/>
    <xf numFmtId="38" fontId="0" fillId="0" borderId="0" xfId="28" applyNumberFormat="1" applyFont="1" applyFill="1" applyAlignment="1">
      <alignment horizontal="right"/>
    </xf>
    <xf numFmtId="38" fontId="0" fillId="0" borderId="0" xfId="28" applyNumberFormat="1" applyFont="1" applyFill="1"/>
    <xf numFmtId="38" fontId="3" fillId="0" borderId="0" xfId="28" applyNumberFormat="1" applyFont="1" applyFill="1"/>
    <xf numFmtId="38" fontId="22" fillId="0" borderId="0" xfId="28" applyNumberFormat="1" applyFont="1" applyFill="1"/>
    <xf numFmtId="165" fontId="7" fillId="0" borderId="0" xfId="28" applyNumberFormat="1" applyFont="1" applyFill="1"/>
    <xf numFmtId="165" fontId="4" fillId="0" borderId="10" xfId="28" applyNumberFormat="1" applyBorder="1"/>
    <xf numFmtId="165" fontId="10" fillId="0" borderId="0" xfId="28" applyNumberFormat="1" applyFont="1" applyAlignment="1">
      <alignment horizontal="center"/>
    </xf>
    <xf numFmtId="0" fontId="8" fillId="0" borderId="10" xfId="0" applyFont="1" applyBorder="1" applyAlignment="1">
      <alignment horizontal="left" indent="1"/>
    </xf>
    <xf numFmtId="0" fontId="7" fillId="0" borderId="0" xfId="0" applyFont="1" applyAlignment="1"/>
    <xf numFmtId="165" fontId="4" fillId="0" borderId="0" xfId="28" applyNumberFormat="1" applyBorder="1"/>
    <xf numFmtId="0" fontId="7" fillId="0" borderId="0" xfId="0" applyFon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20" fillId="0" borderId="0" xfId="0" applyFont="1" applyAlignment="1"/>
    <xf numFmtId="0" fontId="4" fillId="0" borderId="0" xfId="50"/>
    <xf numFmtId="0" fontId="8" fillId="0" borderId="0" xfId="50" applyFont="1"/>
    <xf numFmtId="0" fontId="20" fillId="0" borderId="0" xfId="50" applyFont="1" applyAlignment="1">
      <alignment horizontal="right"/>
    </xf>
    <xf numFmtId="0" fontId="4" fillId="18" borderId="0" xfId="50" applyFill="1"/>
    <xf numFmtId="165" fontId="4" fillId="0" borderId="0" xfId="32" applyNumberFormat="1"/>
    <xf numFmtId="165" fontId="4" fillId="0" borderId="0" xfId="50" applyNumberFormat="1"/>
    <xf numFmtId="0" fontId="4" fillId="18" borderId="0" xfId="50" applyFill="1" applyAlignment="1">
      <alignment horizontal="centerContinuous"/>
    </xf>
    <xf numFmtId="0" fontId="4" fillId="0" borderId="0" xfId="50" applyFont="1"/>
    <xf numFmtId="165" fontId="10" fillId="0" borderId="0" xfId="28" applyNumberFormat="1" applyFont="1" applyAlignment="1">
      <alignment horizontal="right"/>
    </xf>
    <xf numFmtId="165" fontId="8" fillId="0" borderId="0" xfId="28" applyNumberFormat="1" applyFont="1" applyAlignment="1"/>
    <xf numFmtId="165" fontId="7" fillId="0" borderId="0" xfId="28" applyNumberFormat="1" applyFont="1" applyFill="1" applyAlignment="1">
      <alignment horizontal="right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38" fontId="4" fillId="0" borderId="0" xfId="28" applyNumberFormat="1" applyFont="1" applyAlignment="1">
      <alignment horizontal="right"/>
    </xf>
    <xf numFmtId="165" fontId="7" fillId="0" borderId="0" xfId="28" applyNumberFormat="1" applyFont="1" applyBorder="1"/>
    <xf numFmtId="49" fontId="7" fillId="0" borderId="0" xfId="50" applyNumberFormat="1" applyFont="1" applyBorder="1"/>
    <xf numFmtId="0" fontId="4" fillId="0" borderId="0" xfId="49" applyFill="1"/>
    <xf numFmtId="165" fontId="4" fillId="0" borderId="0" xfId="31" applyNumberFormat="1" applyFill="1"/>
    <xf numFmtId="0" fontId="16" fillId="0" borderId="0" xfId="49" applyFont="1" applyFill="1"/>
    <xf numFmtId="0" fontId="4" fillId="0" borderId="0" xfId="49" applyFont="1" applyFill="1" applyBorder="1"/>
    <xf numFmtId="0" fontId="4" fillId="0" borderId="0" xfId="49" applyFont="1" applyFill="1"/>
    <xf numFmtId="165" fontId="4" fillId="0" borderId="0" xfId="31" applyNumberFormat="1" applyFont="1" applyFill="1"/>
    <xf numFmtId="165" fontId="4" fillId="0" borderId="0" xfId="49" applyNumberFormat="1" applyFill="1"/>
    <xf numFmtId="0" fontId="7" fillId="0" borderId="0" xfId="49" applyFont="1" applyFill="1"/>
    <xf numFmtId="165" fontId="3" fillId="0" borderId="0" xfId="31" applyNumberFormat="1" applyFont="1" applyFill="1"/>
    <xf numFmtId="0" fontId="14" fillId="0" borderId="0" xfId="49" applyFont="1" applyFill="1" applyAlignment="1">
      <alignment horizontal="right"/>
    </xf>
    <xf numFmtId="165" fontId="4" fillId="0" borderId="0" xfId="31" applyNumberFormat="1" applyFont="1" applyFill="1" applyAlignment="1">
      <alignment horizontal="right"/>
    </xf>
    <xf numFmtId="0" fontId="4" fillId="0" borderId="0" xfId="49" applyFont="1" applyFill="1" applyAlignment="1">
      <alignment horizontal="center"/>
    </xf>
    <xf numFmtId="165" fontId="4" fillId="0" borderId="0" xfId="31" applyNumberFormat="1" applyFont="1" applyFill="1" applyBorder="1"/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/>
    <xf numFmtId="0" fontId="4" fillId="0" borderId="10" xfId="49" applyFont="1" applyFill="1" applyBorder="1"/>
    <xf numFmtId="165" fontId="3" fillId="0" borderId="0" xfId="31" applyNumberFormat="1" applyFont="1" applyFill="1" applyBorder="1"/>
    <xf numFmtId="0" fontId="14" fillId="0" borderId="0" xfId="49" applyFont="1" applyFill="1"/>
    <xf numFmtId="0" fontId="8" fillId="0" borderId="0" xfId="49" applyFont="1" applyFill="1" applyBorder="1" applyAlignment="1">
      <alignment horizontal="left"/>
    </xf>
    <xf numFmtId="166" fontId="4" fillId="0" borderId="0" xfId="49" applyNumberFormat="1" applyFill="1" applyAlignment="1"/>
    <xf numFmtId="0" fontId="4" fillId="0" borderId="0" xfId="49" applyFill="1" applyBorder="1"/>
    <xf numFmtId="0" fontId="17" fillId="0" borderId="0" xfId="49" applyFont="1" applyFill="1" applyBorder="1"/>
    <xf numFmtId="165" fontId="3" fillId="0" borderId="0" xfId="49" applyNumberFormat="1" applyFont="1" applyFill="1" applyBorder="1"/>
    <xf numFmtId="0" fontId="10" fillId="0" borderId="0" xfId="49" applyFont="1" applyFill="1" applyBorder="1"/>
    <xf numFmtId="0" fontId="3" fillId="0" borderId="10" xfId="49" applyFont="1" applyFill="1" applyBorder="1"/>
    <xf numFmtId="165" fontId="4" fillId="0" borderId="10" xfId="31" applyNumberFormat="1" applyFont="1" applyFill="1" applyBorder="1"/>
    <xf numFmtId="0" fontId="4" fillId="0" borderId="10" xfId="49" applyFont="1" applyFill="1" applyBorder="1" applyAlignment="1">
      <alignment horizontal="center"/>
    </xf>
    <xf numFmtId="38" fontId="0" fillId="0" borderId="0" xfId="28" applyNumberFormat="1" applyFont="1" applyAlignment="1">
      <alignment horizontal="right"/>
    </xf>
    <xf numFmtId="0" fontId="0" fillId="0" borderId="0" xfId="0" applyFill="1" applyAlignment="1"/>
    <xf numFmtId="38" fontId="33" fillId="0" borderId="0" xfId="28" applyNumberFormat="1" applyFont="1" applyAlignment="1">
      <alignment horizontal="left"/>
    </xf>
    <xf numFmtId="38" fontId="14" fillId="0" borderId="0" xfId="28" applyNumberFormat="1" applyFont="1" applyFill="1" applyAlignment="1">
      <alignment horizontal="right"/>
    </xf>
    <xf numFmtId="0" fontId="14" fillId="0" borderId="0" xfId="0" applyFont="1" applyAlignment="1">
      <alignment vertical="top"/>
    </xf>
    <xf numFmtId="165" fontId="8" fillId="0" borderId="0" xfId="28" applyNumberFormat="1" applyFont="1" applyAlignment="1">
      <alignment horizontal="left"/>
    </xf>
    <xf numFmtId="43" fontId="4" fillId="0" borderId="0" xfId="28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13" fillId="0" borderId="0" xfId="0" applyFont="1" applyFill="1"/>
    <xf numFmtId="165" fontId="4" fillId="0" borderId="0" xfId="28" applyNumberFormat="1" applyFont="1" applyFill="1" applyBorder="1"/>
    <xf numFmtId="0" fontId="27" fillId="0" borderId="0" xfId="49" applyFont="1" applyFill="1" applyAlignment="1">
      <alignment horizontal="right"/>
    </xf>
    <xf numFmtId="0" fontId="5" fillId="0" borderId="0" xfId="49" applyFont="1" applyFill="1" applyAlignment="1">
      <alignment horizontal="center"/>
    </xf>
    <xf numFmtId="0" fontId="0" fillId="19" borderId="0" xfId="0" applyFill="1"/>
    <xf numFmtId="0" fontId="0" fillId="19" borderId="10" xfId="0" applyFill="1" applyBorder="1"/>
    <xf numFmtId="0" fontId="0" fillId="19" borderId="0" xfId="0" applyFill="1" applyBorder="1"/>
    <xf numFmtId="0" fontId="4" fillId="19" borderId="0" xfId="0" applyFont="1" applyFill="1"/>
    <xf numFmtId="165" fontId="4" fillId="19" borderId="0" xfId="28" applyNumberFormat="1" applyFill="1"/>
    <xf numFmtId="0" fontId="13" fillId="0" borderId="0" xfId="49" applyFont="1" applyFill="1" applyBorder="1" applyAlignment="1">
      <alignment horizontal="right"/>
    </xf>
    <xf numFmtId="0" fontId="5" fillId="19" borderId="0" xfId="49" applyFont="1" applyFill="1" applyAlignment="1">
      <alignment horizontal="left"/>
    </xf>
    <xf numFmtId="0" fontId="4" fillId="19" borderId="0" xfId="49" applyFill="1"/>
    <xf numFmtId="165" fontId="4" fillId="19" borderId="0" xfId="31" applyNumberFormat="1" applyFill="1"/>
    <xf numFmtId="0" fontId="11" fillId="19" borderId="0" xfId="49" applyFont="1" applyFill="1" applyAlignment="1"/>
    <xf numFmtId="0" fontId="4" fillId="19" borderId="0" xfId="49" applyFill="1" applyAlignment="1">
      <alignment horizontal="centerContinuous"/>
    </xf>
    <xf numFmtId="0" fontId="4" fillId="19" borderId="10" xfId="49" applyFill="1" applyBorder="1"/>
    <xf numFmtId="0" fontId="13" fillId="19" borderId="10" xfId="49" applyFont="1" applyFill="1" applyBorder="1" applyAlignment="1">
      <alignment horizontal="right"/>
    </xf>
    <xf numFmtId="0" fontId="4" fillId="19" borderId="0" xfId="49" applyFont="1" applyFill="1" applyBorder="1"/>
    <xf numFmtId="0" fontId="3" fillId="19" borderId="11" xfId="49" applyFont="1" applyFill="1" applyBorder="1" applyAlignment="1">
      <alignment horizontal="right"/>
    </xf>
    <xf numFmtId="0" fontId="3" fillId="19" borderId="11" xfId="49" applyFont="1" applyFill="1" applyBorder="1" applyAlignment="1">
      <alignment horizontal="center"/>
    </xf>
    <xf numFmtId="0" fontId="7" fillId="19" borderId="10" xfId="49" applyFont="1" applyFill="1" applyBorder="1"/>
    <xf numFmtId="0" fontId="7" fillId="19" borderId="11" xfId="49" applyFont="1" applyFill="1" applyBorder="1"/>
    <xf numFmtId="0" fontId="17" fillId="19" borderId="0" xfId="49" applyFont="1" applyFill="1" applyAlignment="1"/>
    <xf numFmtId="0" fontId="4" fillId="19" borderId="0" xfId="49" applyFont="1" applyFill="1"/>
    <xf numFmtId="165" fontId="4" fillId="19" borderId="0" xfId="31" applyNumberFormat="1" applyFont="1" applyFill="1"/>
    <xf numFmtId="0" fontId="3" fillId="19" borderId="0" xfId="49" applyFont="1" applyFill="1" applyAlignment="1"/>
    <xf numFmtId="0" fontId="7" fillId="19" borderId="0" xfId="49" applyFont="1" applyFill="1"/>
    <xf numFmtId="0" fontId="3" fillId="19" borderId="0" xfId="49" applyFont="1" applyFill="1" applyAlignment="1">
      <alignment horizontal="left"/>
    </xf>
    <xf numFmtId="165" fontId="3" fillId="19" borderId="0" xfId="31" applyNumberFormat="1" applyFont="1" applyFill="1"/>
    <xf numFmtId="164" fontId="3" fillId="19" borderId="0" xfId="28" applyNumberFormat="1" applyFont="1" applyFill="1"/>
    <xf numFmtId="164" fontId="3" fillId="19" borderId="0" xfId="31" applyNumberFormat="1" applyFont="1" applyFill="1"/>
    <xf numFmtId="0" fontId="14" fillId="19" borderId="0" xfId="49" applyFont="1" applyFill="1" applyAlignment="1">
      <alignment horizontal="right"/>
    </xf>
    <xf numFmtId="164" fontId="7" fillId="19" borderId="0" xfId="28" applyNumberFormat="1" applyFont="1" applyFill="1"/>
    <xf numFmtId="164" fontId="7" fillId="19" borderId="0" xfId="49" applyNumberFormat="1" applyFont="1" applyFill="1" applyAlignment="1">
      <alignment horizontal="right"/>
    </xf>
    <xf numFmtId="0" fontId="4" fillId="19" borderId="0" xfId="49" applyFont="1" applyFill="1" applyAlignment="1">
      <alignment horizontal="left" indent="1"/>
    </xf>
    <xf numFmtId="164" fontId="4" fillId="19" borderId="0" xfId="31" applyNumberFormat="1" applyFont="1" applyFill="1"/>
    <xf numFmtId="164" fontId="14" fillId="19" borderId="0" xfId="49" applyNumberFormat="1" applyFont="1" applyFill="1" applyAlignment="1">
      <alignment horizontal="right"/>
    </xf>
    <xf numFmtId="164" fontId="26" fillId="19" borderId="0" xfId="49" applyNumberFormat="1" applyFont="1" applyFill="1" applyAlignment="1">
      <alignment horizontal="right"/>
    </xf>
    <xf numFmtId="164" fontId="4" fillId="19" borderId="0" xfId="31" applyNumberFormat="1" applyFont="1" applyFill="1" applyAlignment="1">
      <alignment horizontal="right"/>
    </xf>
    <xf numFmtId="164" fontId="30" fillId="19" borderId="0" xfId="28" applyNumberFormat="1" applyFont="1" applyFill="1"/>
    <xf numFmtId="164" fontId="4" fillId="19" borderId="0" xfId="28" applyNumberFormat="1" applyFill="1"/>
    <xf numFmtId="164" fontId="7" fillId="19" borderId="0" xfId="31" applyNumberFormat="1" applyFont="1" applyFill="1"/>
    <xf numFmtId="165" fontId="7" fillId="19" borderId="0" xfId="31" applyNumberFormat="1" applyFont="1" applyFill="1"/>
    <xf numFmtId="164" fontId="7" fillId="19" borderId="0" xfId="31" applyNumberFormat="1" applyFont="1" applyFill="1" applyAlignment="1">
      <alignment horizontal="right"/>
    </xf>
    <xf numFmtId="164" fontId="25" fillId="19" borderId="0" xfId="31" applyNumberFormat="1" applyFont="1" applyFill="1" applyAlignment="1">
      <alignment horizontal="right"/>
    </xf>
    <xf numFmtId="0" fontId="4" fillId="19" borderId="0" xfId="49" applyFont="1" applyFill="1" applyAlignment="1">
      <alignment horizontal="left" indent="2"/>
    </xf>
    <xf numFmtId="164" fontId="30" fillId="19" borderId="0" xfId="31" applyNumberFormat="1" applyFont="1" applyFill="1"/>
    <xf numFmtId="165" fontId="4" fillId="19" borderId="0" xfId="31" applyNumberFormat="1" applyFont="1" applyFill="1" applyAlignment="1">
      <alignment horizontal="right"/>
    </xf>
    <xf numFmtId="164" fontId="30" fillId="19" borderId="0" xfId="31" applyNumberFormat="1" applyFont="1" applyFill="1" applyAlignment="1">
      <alignment horizontal="center"/>
    </xf>
    <xf numFmtId="164" fontId="4" fillId="19" borderId="0" xfId="28" applyNumberFormat="1" applyFill="1" applyAlignment="1">
      <alignment horizontal="left"/>
    </xf>
    <xf numFmtId="165" fontId="14" fillId="19" borderId="0" xfId="31" applyNumberFormat="1" applyFont="1" applyFill="1" applyAlignment="1">
      <alignment horizontal="right"/>
    </xf>
    <xf numFmtId="169" fontId="8" fillId="19" borderId="0" xfId="49" applyNumberFormat="1" applyFont="1" applyFill="1" applyAlignment="1">
      <alignment horizontal="right"/>
    </xf>
    <xf numFmtId="164" fontId="30" fillId="19" borderId="0" xfId="31" applyNumberFormat="1" applyFont="1" applyFill="1" applyAlignment="1">
      <alignment horizontal="right"/>
    </xf>
    <xf numFmtId="164" fontId="51" fillId="19" borderId="0" xfId="28" applyNumberFormat="1" applyFont="1" applyFill="1"/>
    <xf numFmtId="0" fontId="4" fillId="19" borderId="0" xfId="49" applyFont="1" applyFill="1" applyAlignment="1">
      <alignment horizontal="right"/>
    </xf>
    <xf numFmtId="165" fontId="18" fillId="19" borderId="0" xfId="31" applyNumberFormat="1" applyFont="1" applyFill="1"/>
    <xf numFmtId="0" fontId="18" fillId="19" borderId="0" xfId="49" applyFont="1" applyFill="1"/>
    <xf numFmtId="0" fontId="18" fillId="19" borderId="0" xfId="49" applyFont="1" applyFill="1" applyAlignment="1">
      <alignment horizontal="right"/>
    </xf>
    <xf numFmtId="165" fontId="18" fillId="19" borderId="0" xfId="31" applyNumberFormat="1" applyFont="1" applyFill="1" applyAlignment="1">
      <alignment horizontal="right"/>
    </xf>
    <xf numFmtId="0" fontId="30" fillId="19" borderId="0" xfId="49" applyFont="1" applyFill="1"/>
    <xf numFmtId="164" fontId="3" fillId="19" borderId="0" xfId="31" applyNumberFormat="1" applyFont="1" applyFill="1" applyAlignment="1">
      <alignment horizontal="right"/>
    </xf>
    <xf numFmtId="43" fontId="7" fillId="19" borderId="0" xfId="28" applyFont="1" applyFill="1"/>
    <xf numFmtId="164" fontId="26" fillId="19" borderId="0" xfId="31" applyNumberFormat="1" applyFont="1" applyFill="1" applyAlignment="1">
      <alignment horizontal="right"/>
    </xf>
    <xf numFmtId="164" fontId="4" fillId="19" borderId="0" xfId="28" applyNumberFormat="1" applyFont="1" applyFill="1"/>
    <xf numFmtId="170" fontId="7" fillId="19" borderId="0" xfId="31" applyNumberFormat="1" applyFont="1" applyFill="1" applyAlignment="1">
      <alignment horizontal="right"/>
    </xf>
    <xf numFmtId="170" fontId="25" fillId="19" borderId="0" xfId="31" applyNumberFormat="1" applyFont="1" applyFill="1" applyAlignment="1">
      <alignment horizontal="right"/>
    </xf>
    <xf numFmtId="170" fontId="7" fillId="19" borderId="0" xfId="28" applyNumberFormat="1" applyFont="1" applyFill="1"/>
    <xf numFmtId="165" fontId="3" fillId="19" borderId="0" xfId="31" applyNumberFormat="1" applyFont="1" applyFill="1" applyAlignment="1">
      <alignment horizontal="right"/>
    </xf>
    <xf numFmtId="170" fontId="4" fillId="19" borderId="0" xfId="31" applyNumberFormat="1" applyFont="1" applyFill="1" applyAlignment="1">
      <alignment horizontal="right"/>
    </xf>
    <xf numFmtId="170" fontId="30" fillId="19" borderId="0" xfId="31" applyNumberFormat="1" applyFont="1" applyFill="1"/>
    <xf numFmtId="170" fontId="4" fillId="19" borderId="0" xfId="28" applyNumberFormat="1" applyFill="1"/>
    <xf numFmtId="170" fontId="30" fillId="19" borderId="0" xfId="31" applyNumberFormat="1" applyFont="1" applyFill="1" applyAlignment="1">
      <alignment horizontal="right"/>
    </xf>
    <xf numFmtId="170" fontId="4" fillId="19" borderId="0" xfId="49" applyNumberFormat="1" applyFill="1"/>
    <xf numFmtId="165" fontId="3" fillId="19" borderId="0" xfId="31" applyNumberFormat="1" applyFont="1" applyFill="1" applyAlignment="1">
      <alignment horizontal="center"/>
    </xf>
    <xf numFmtId="0" fontId="4" fillId="19" borderId="0" xfId="49" applyFont="1" applyFill="1" applyAlignment="1">
      <alignment horizontal="left" wrapText="1" indent="2"/>
    </xf>
    <xf numFmtId="170" fontId="14" fillId="19" borderId="0" xfId="49" applyNumberFormat="1" applyFont="1" applyFill="1" applyAlignment="1">
      <alignment horizontal="right"/>
    </xf>
    <xf numFmtId="0" fontId="4" fillId="19" borderId="0" xfId="49" applyFont="1" applyFill="1" applyAlignment="1">
      <alignment horizontal="left" indent="3"/>
    </xf>
    <xf numFmtId="165" fontId="19" fillId="19" borderId="0" xfId="31" applyNumberFormat="1" applyFont="1" applyFill="1" applyAlignment="1">
      <alignment horizontal="right"/>
    </xf>
    <xf numFmtId="170" fontId="4" fillId="19" borderId="0" xfId="49" applyNumberFormat="1" applyFont="1" applyFill="1" applyAlignment="1">
      <alignment horizontal="right"/>
    </xf>
    <xf numFmtId="170" fontId="30" fillId="19" borderId="0" xfId="49" applyNumberFormat="1" applyFont="1" applyFill="1"/>
    <xf numFmtId="164" fontId="4" fillId="19" borderId="0" xfId="49" applyNumberFormat="1" applyFont="1" applyFill="1" applyAlignment="1">
      <alignment horizontal="right"/>
    </xf>
    <xf numFmtId="49" fontId="4" fillId="19" borderId="0" xfId="49" applyNumberFormat="1" applyFont="1" applyFill="1" applyAlignment="1">
      <alignment horizontal="right"/>
    </xf>
    <xf numFmtId="169" fontId="25" fillId="19" borderId="0" xfId="49" applyNumberFormat="1" applyFont="1" applyFill="1" applyAlignment="1">
      <alignment horizontal="right"/>
    </xf>
    <xf numFmtId="170" fontId="25" fillId="19" borderId="0" xfId="49" applyNumberFormat="1" applyFont="1" applyFill="1" applyAlignment="1">
      <alignment horizontal="right"/>
    </xf>
    <xf numFmtId="170" fontId="7" fillId="19" borderId="0" xfId="0" applyNumberFormat="1" applyFont="1" applyFill="1"/>
    <xf numFmtId="170" fontId="7" fillId="19" borderId="0" xfId="49" applyNumberFormat="1" applyFont="1" applyFill="1"/>
    <xf numFmtId="170" fontId="3" fillId="19" borderId="0" xfId="49" applyNumberFormat="1" applyFont="1" applyFill="1" applyAlignment="1">
      <alignment horizontal="right"/>
    </xf>
    <xf numFmtId="170" fontId="3" fillId="19" borderId="0" xfId="31" applyNumberFormat="1" applyFont="1" applyFill="1" applyAlignment="1">
      <alignment horizontal="right"/>
    </xf>
    <xf numFmtId="167" fontId="4" fillId="19" borderId="0" xfId="49" applyNumberFormat="1" applyFont="1" applyFill="1" applyAlignment="1">
      <alignment horizontal="right"/>
    </xf>
    <xf numFmtId="170" fontId="31" fillId="19" borderId="0" xfId="49" applyNumberFormat="1" applyFont="1" applyFill="1" applyAlignment="1">
      <alignment horizontal="right"/>
    </xf>
    <xf numFmtId="170" fontId="26" fillId="19" borderId="0" xfId="31" applyNumberFormat="1" applyFont="1" applyFill="1" applyAlignment="1">
      <alignment horizontal="right"/>
    </xf>
    <xf numFmtId="0" fontId="3" fillId="19" borderId="10" xfId="49" applyFont="1" applyFill="1" applyBorder="1" applyAlignment="1">
      <alignment horizontal="left"/>
    </xf>
    <xf numFmtId="165" fontId="3" fillId="19" borderId="10" xfId="31" applyNumberFormat="1" applyFont="1" applyFill="1" applyBorder="1"/>
    <xf numFmtId="164" fontId="3" fillId="19" borderId="10" xfId="31" applyNumberFormat="1" applyFont="1" applyFill="1" applyBorder="1"/>
    <xf numFmtId="0" fontId="14" fillId="19" borderId="10" xfId="49" applyFont="1" applyFill="1" applyBorder="1" applyAlignment="1">
      <alignment horizontal="right"/>
    </xf>
    <xf numFmtId="170" fontId="14" fillId="19" borderId="10" xfId="49" applyNumberFormat="1" applyFont="1" applyFill="1" applyBorder="1" applyAlignment="1">
      <alignment horizontal="right"/>
    </xf>
    <xf numFmtId="170" fontId="4" fillId="19" borderId="10" xfId="49" applyNumberFormat="1" applyFill="1" applyBorder="1"/>
    <xf numFmtId="0" fontId="3" fillId="19" borderId="0" xfId="49" applyFont="1" applyFill="1" applyAlignment="1">
      <alignment horizontal="right"/>
    </xf>
    <xf numFmtId="0" fontId="4" fillId="19" borderId="0" xfId="49" applyFont="1" applyFill="1" applyAlignment="1">
      <alignment horizontal="center"/>
    </xf>
    <xf numFmtId="170" fontId="4" fillId="19" borderId="0" xfId="49" applyNumberFormat="1" applyFont="1" applyFill="1" applyAlignment="1">
      <alignment horizontal="center"/>
    </xf>
    <xf numFmtId="0" fontId="5" fillId="19" borderId="0" xfId="49" applyFont="1" applyFill="1"/>
    <xf numFmtId="0" fontId="17" fillId="19" borderId="0" xfId="49" applyFont="1" applyFill="1" applyBorder="1" applyAlignment="1">
      <alignment horizontal="left"/>
    </xf>
    <xf numFmtId="0" fontId="4" fillId="19" borderId="0" xfId="49" applyFont="1" applyFill="1" applyBorder="1" applyAlignment="1">
      <alignment horizontal="centerContinuous"/>
    </xf>
    <xf numFmtId="165" fontId="4" fillId="19" borderId="0" xfId="31" applyNumberFormat="1" applyFont="1" applyFill="1" applyBorder="1"/>
    <xf numFmtId="0" fontId="3" fillId="19" borderId="0" xfId="49" applyFont="1" applyFill="1" applyBorder="1" applyAlignment="1">
      <alignment horizontal="left"/>
    </xf>
    <xf numFmtId="165" fontId="3" fillId="19" borderId="0" xfId="31" applyNumberFormat="1" applyFont="1" applyFill="1" applyBorder="1"/>
    <xf numFmtId="0" fontId="14" fillId="19" borderId="0" xfId="49" applyFont="1" applyFill="1" applyBorder="1" applyAlignment="1">
      <alignment horizontal="right"/>
    </xf>
    <xf numFmtId="164" fontId="3" fillId="19" borderId="0" xfId="31" applyNumberFormat="1" applyFont="1" applyFill="1" applyBorder="1"/>
    <xf numFmtId="169" fontId="3" fillId="19" borderId="0" xfId="31" applyNumberFormat="1" applyFont="1" applyFill="1" applyBorder="1"/>
    <xf numFmtId="170" fontId="3" fillId="19" borderId="0" xfId="31" applyNumberFormat="1" applyFont="1" applyFill="1" applyBorder="1"/>
    <xf numFmtId="0" fontId="3" fillId="19" borderId="0" xfId="49" applyFont="1" applyFill="1" applyBorder="1" applyAlignment="1">
      <alignment horizontal="centerContinuous"/>
    </xf>
    <xf numFmtId="0" fontId="3" fillId="19" borderId="0" xfId="49" applyFont="1" applyFill="1" applyBorder="1"/>
    <xf numFmtId="0" fontId="3" fillId="19" borderId="0" xfId="49" applyFont="1" applyFill="1"/>
    <xf numFmtId="169" fontId="7" fillId="19" borderId="0" xfId="49" applyNumberFormat="1" applyFont="1" applyFill="1" applyAlignment="1">
      <alignment horizontal="right"/>
    </xf>
    <xf numFmtId="170" fontId="7" fillId="19" borderId="0" xfId="49" applyNumberFormat="1" applyFont="1" applyFill="1" applyAlignment="1">
      <alignment horizontal="right"/>
    </xf>
    <xf numFmtId="170" fontId="32" fillId="19" borderId="0" xfId="49" applyNumberFormat="1" applyFont="1" applyFill="1" applyAlignment="1">
      <alignment horizontal="right"/>
    </xf>
    <xf numFmtId="169" fontId="4" fillId="19" borderId="0" xfId="49" applyNumberFormat="1" applyFill="1" applyAlignment="1">
      <alignment horizontal="right"/>
    </xf>
    <xf numFmtId="170" fontId="4" fillId="19" borderId="0" xfId="49" applyNumberFormat="1" applyFill="1" applyAlignment="1">
      <alignment horizontal="right"/>
    </xf>
    <xf numFmtId="170" fontId="32" fillId="19" borderId="0" xfId="49" applyNumberFormat="1" applyFont="1" applyFill="1"/>
    <xf numFmtId="164" fontId="3" fillId="19" borderId="0" xfId="49" applyNumberFormat="1" applyFont="1" applyFill="1"/>
    <xf numFmtId="0" fontId="4" fillId="19" borderId="10" xfId="49" applyFont="1" applyFill="1" applyBorder="1"/>
    <xf numFmtId="164" fontId="4" fillId="19" borderId="10" xfId="49" applyNumberFormat="1" applyFont="1" applyFill="1" applyBorder="1" applyAlignment="1">
      <alignment horizontal="center"/>
    </xf>
    <xf numFmtId="169" fontId="4" fillId="19" borderId="10" xfId="49" applyNumberFormat="1" applyFont="1" applyFill="1" applyBorder="1" applyAlignment="1">
      <alignment horizontal="center"/>
    </xf>
    <xf numFmtId="170" fontId="4" fillId="19" borderId="10" xfId="49" applyNumberFormat="1" applyFont="1" applyFill="1" applyBorder="1" applyAlignment="1">
      <alignment horizontal="center"/>
    </xf>
    <xf numFmtId="170" fontId="4" fillId="19" borderId="10" xfId="49" applyNumberFormat="1" applyFont="1" applyFill="1" applyBorder="1"/>
    <xf numFmtId="0" fontId="4" fillId="19" borderId="0" xfId="49" applyFont="1" applyFill="1" applyAlignment="1">
      <alignment horizontal="left"/>
    </xf>
    <xf numFmtId="0" fontId="4" fillId="0" borderId="0" xfId="0" applyFont="1" applyFill="1"/>
    <xf numFmtId="0" fontId="4" fillId="0" borderId="0" xfId="44" applyFont="1" applyFill="1"/>
    <xf numFmtId="0" fontId="60" fillId="0" borderId="0" xfId="46" applyFont="1" applyFill="1"/>
    <xf numFmtId="165" fontId="26" fillId="0" borderId="0" xfId="28" applyNumberFormat="1" applyFont="1" applyFill="1" applyBorder="1"/>
    <xf numFmtId="165" fontId="4" fillId="0" borderId="0" xfId="28" applyNumberFormat="1" applyFont="1" applyAlignment="1">
      <alignment horizontal="right"/>
    </xf>
    <xf numFmtId="165" fontId="7" fillId="19" borderId="0" xfId="28" applyNumberFormat="1" applyFont="1" applyFill="1" applyBorder="1"/>
    <xf numFmtId="0" fontId="5" fillId="19" borderId="0" xfId="0" applyFont="1" applyFill="1"/>
    <xf numFmtId="165" fontId="4" fillId="19" borderId="10" xfId="28" applyNumberFormat="1" applyFill="1" applyBorder="1"/>
    <xf numFmtId="165" fontId="4" fillId="19" borderId="0" xfId="28" applyNumberFormat="1" applyFill="1" applyBorder="1"/>
    <xf numFmtId="0" fontId="5" fillId="19" borderId="0" xfId="50" applyFont="1" applyFill="1"/>
    <xf numFmtId="0" fontId="4" fillId="19" borderId="0" xfId="50" applyFill="1"/>
    <xf numFmtId="49" fontId="4" fillId="19" borderId="10" xfId="50" applyNumberFormat="1" applyFont="1" applyFill="1" applyBorder="1"/>
    <xf numFmtId="49" fontId="4" fillId="19" borderId="0" xfId="50" applyNumberFormat="1" applyFont="1" applyFill="1" applyBorder="1"/>
    <xf numFmtId="0" fontId="7" fillId="19" borderId="13" xfId="28" applyNumberFormat="1" applyFont="1" applyFill="1" applyBorder="1" applyAlignment="1">
      <alignment horizontal="center"/>
    </xf>
    <xf numFmtId="0" fontId="7" fillId="19" borderId="11" xfId="28" applyNumberFormat="1" applyFont="1" applyFill="1" applyBorder="1" applyAlignment="1">
      <alignment horizontal="centerContinuous"/>
    </xf>
    <xf numFmtId="165" fontId="7" fillId="19" borderId="11" xfId="28" applyNumberFormat="1" applyFont="1" applyFill="1" applyBorder="1" applyAlignment="1">
      <alignment horizontal="centerContinuous"/>
    </xf>
    <xf numFmtId="0" fontId="7" fillId="19" borderId="11" xfId="28" applyNumberFormat="1" applyFont="1" applyFill="1" applyBorder="1" applyAlignment="1">
      <alignment horizontal="center"/>
    </xf>
    <xf numFmtId="0" fontId="7" fillId="19" borderId="10" xfId="50" applyFont="1" applyFill="1" applyBorder="1" applyAlignment="1">
      <alignment horizontal="left"/>
    </xf>
    <xf numFmtId="0" fontId="4" fillId="19" borderId="10" xfId="50" applyFill="1" applyBorder="1"/>
    <xf numFmtId="165" fontId="3" fillId="19" borderId="10" xfId="28" applyNumberFormat="1" applyFont="1" applyFill="1" applyBorder="1" applyAlignment="1">
      <alignment horizontal="right"/>
    </xf>
    <xf numFmtId="0" fontId="7" fillId="19" borderId="0" xfId="50" applyFont="1" applyFill="1" applyBorder="1" applyAlignment="1">
      <alignment horizontal="left"/>
    </xf>
    <xf numFmtId="165" fontId="3" fillId="19" borderId="0" xfId="28" applyNumberFormat="1" applyFont="1" applyFill="1" applyBorder="1"/>
    <xf numFmtId="49" fontId="7" fillId="19" borderId="0" xfId="50" applyNumberFormat="1" applyFont="1" applyFill="1" applyBorder="1"/>
    <xf numFmtId="0" fontId="4" fillId="19" borderId="0" xfId="50" applyFill="1" applyBorder="1"/>
    <xf numFmtId="0" fontId="7" fillId="19" borderId="0" xfId="50" applyFont="1" applyFill="1"/>
    <xf numFmtId="0" fontId="8" fillId="19" borderId="0" xfId="50" applyFont="1" applyFill="1"/>
    <xf numFmtId="0" fontId="4" fillId="19" borderId="0" xfId="50" applyFont="1" applyFill="1"/>
    <xf numFmtId="0" fontId="0" fillId="19" borderId="14" xfId="0" applyFill="1" applyBorder="1"/>
    <xf numFmtId="0" fontId="59" fillId="19" borderId="13" xfId="0" applyFon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15" xfId="0" applyFill="1" applyBorder="1"/>
    <xf numFmtId="3" fontId="0" fillId="19" borderId="0" xfId="0" applyNumberFormat="1" applyFill="1" applyBorder="1" applyAlignment="1">
      <alignment horizontal="center"/>
    </xf>
    <xf numFmtId="0" fontId="59" fillId="19" borderId="16" xfId="0" applyFont="1" applyFill="1" applyBorder="1"/>
    <xf numFmtId="3" fontId="59" fillId="19" borderId="10" xfId="0" applyNumberFormat="1" applyFont="1" applyFill="1" applyBorder="1" applyAlignment="1">
      <alignment horizontal="center"/>
    </xf>
    <xf numFmtId="3" fontId="0" fillId="19" borderId="10" xfId="0" applyNumberFormat="1" applyFill="1" applyBorder="1" applyAlignment="1">
      <alignment horizontal="center"/>
    </xf>
    <xf numFmtId="0" fontId="59" fillId="19" borderId="13" xfId="0" applyFont="1" applyFill="1" applyBorder="1"/>
    <xf numFmtId="3" fontId="0" fillId="19" borderId="17" xfId="0" applyNumberFormat="1" applyFill="1" applyBorder="1" applyAlignment="1">
      <alignment horizontal="center"/>
    </xf>
    <xf numFmtId="0" fontId="59" fillId="19" borderId="0" xfId="0" applyFont="1" applyFill="1" applyBorder="1" applyAlignment="1">
      <alignment horizontal="center"/>
    </xf>
    <xf numFmtId="3" fontId="59" fillId="19" borderId="0" xfId="0" applyNumberFormat="1" applyFont="1" applyFill="1" applyBorder="1" applyAlignment="1">
      <alignment horizontal="center"/>
    </xf>
    <xf numFmtId="3" fontId="0" fillId="19" borderId="18" xfId="0" applyNumberFormat="1" applyFill="1" applyBorder="1" applyAlignment="1">
      <alignment horizontal="center"/>
    </xf>
    <xf numFmtId="3" fontId="0" fillId="19" borderId="13" xfId="0" applyNumberFormat="1" applyFill="1" applyBorder="1" applyAlignment="1">
      <alignment horizontal="center"/>
    </xf>
    <xf numFmtId="3" fontId="59" fillId="19" borderId="19" xfId="0" applyNumberFormat="1" applyFont="1" applyFill="1" applyBorder="1" applyAlignment="1">
      <alignment horizontal="center"/>
    </xf>
    <xf numFmtId="0" fontId="0" fillId="19" borderId="13" xfId="0" applyFill="1" applyBorder="1"/>
    <xf numFmtId="0" fontId="59" fillId="19" borderId="0" xfId="0" applyFont="1" applyFill="1" applyBorder="1"/>
    <xf numFmtId="0" fontId="59" fillId="19" borderId="10" xfId="0" applyFont="1" applyFill="1" applyBorder="1"/>
    <xf numFmtId="165" fontId="4" fillId="19" borderId="10" xfId="28" applyNumberFormat="1" applyFill="1" applyBorder="1"/>
    <xf numFmtId="0" fontId="66" fillId="19" borderId="0" xfId="0" applyFont="1" applyFill="1" applyBorder="1" applyAlignment="1"/>
    <xf numFmtId="0" fontId="13" fillId="0" borderId="0" xfId="0" applyFont="1" applyFill="1" applyBorder="1"/>
    <xf numFmtId="165" fontId="4" fillId="0" borderId="0" xfId="28" applyNumberFormat="1" applyFont="1" applyFill="1" applyBorder="1" applyAlignment="1">
      <alignment horizontal="center"/>
    </xf>
    <xf numFmtId="37" fontId="4" fillId="0" borderId="0" xfId="28" applyNumberFormat="1" applyFont="1" applyFill="1" applyBorder="1"/>
    <xf numFmtId="165" fontId="4" fillId="0" borderId="0" xfId="28" applyNumberFormat="1" applyFont="1" applyFill="1" applyAlignment="1">
      <alignment horizontal="center"/>
    </xf>
    <xf numFmtId="37" fontId="4" fillId="0" borderId="0" xfId="0" applyNumberFormat="1" applyFont="1" applyFill="1" applyBorder="1"/>
    <xf numFmtId="37" fontId="0" fillId="0" borderId="0" xfId="0" applyNumberFormat="1" applyFill="1" applyBorder="1"/>
    <xf numFmtId="0" fontId="13" fillId="0" borderId="10" xfId="0" applyFont="1" applyFill="1" applyBorder="1"/>
    <xf numFmtId="37" fontId="0" fillId="0" borderId="10" xfId="0" applyNumberFormat="1" applyFill="1" applyBorder="1"/>
    <xf numFmtId="39" fontId="0" fillId="0" borderId="10" xfId="0" applyNumberFormat="1" applyFill="1" applyBorder="1"/>
    <xf numFmtId="39" fontId="0" fillId="0" borderId="0" xfId="0" applyNumberFormat="1" applyFill="1" applyBorder="1"/>
    <xf numFmtId="0" fontId="58" fillId="0" borderId="12" xfId="46" applyFill="1" applyBorder="1"/>
    <xf numFmtId="0" fontId="59" fillId="0" borderId="12" xfId="46" applyFont="1" applyFill="1" applyBorder="1" applyAlignment="1">
      <alignment horizontal="center" wrapText="1"/>
    </xf>
    <xf numFmtId="0" fontId="59" fillId="0" borderId="12" xfId="46" applyFont="1" applyFill="1" applyBorder="1" applyAlignment="1">
      <alignment horizontal="center"/>
    </xf>
    <xf numFmtId="165" fontId="59" fillId="0" borderId="12" xfId="28" applyNumberFormat="1" applyFont="1" applyFill="1" applyBorder="1"/>
    <xf numFmtId="0" fontId="58" fillId="0" borderId="0" xfId="46" applyFill="1" applyBorder="1"/>
    <xf numFmtId="0" fontId="59" fillId="0" borderId="0" xfId="46" applyFont="1" applyFill="1" applyBorder="1"/>
    <xf numFmtId="0" fontId="64" fillId="0" borderId="0" xfId="46" applyFont="1" applyFill="1" applyAlignment="1">
      <alignment horizontal="left"/>
    </xf>
    <xf numFmtId="0" fontId="58" fillId="0" borderId="0" xfId="46" applyFill="1"/>
    <xf numFmtId="0" fontId="59" fillId="0" borderId="0" xfId="46" applyFont="1" applyFill="1"/>
    <xf numFmtId="0" fontId="64" fillId="0" borderId="0" xfId="46" applyFont="1" applyFill="1"/>
    <xf numFmtId="165" fontId="62" fillId="0" borderId="12" xfId="28" applyNumberFormat="1" applyFont="1" applyFill="1" applyBorder="1"/>
    <xf numFmtId="0" fontId="60" fillId="0" borderId="0" xfId="46" applyFont="1" applyFill="1" applyAlignment="1">
      <alignment horizontal="right"/>
    </xf>
    <xf numFmtId="0" fontId="3" fillId="0" borderId="0" xfId="0" applyFont="1" applyFill="1"/>
    <xf numFmtId="0" fontId="4" fillId="0" borderId="0" xfId="50" applyFill="1"/>
    <xf numFmtId="49" fontId="3" fillId="0" borderId="0" xfId="50" applyNumberFormat="1" applyFont="1" applyFill="1" applyBorder="1"/>
    <xf numFmtId="0" fontId="5" fillId="0" borderId="0" xfId="50" applyFont="1" applyFill="1"/>
    <xf numFmtId="0" fontId="4" fillId="0" borderId="0" xfId="50" applyFont="1" applyFill="1"/>
    <xf numFmtId="0" fontId="0" fillId="0" borderId="0" xfId="0" applyFill="1" applyAlignment="1">
      <alignment horizontal="center"/>
    </xf>
    <xf numFmtId="0" fontId="5" fillId="0" borderId="0" xfId="0" applyFont="1" applyFill="1"/>
    <xf numFmtId="0" fontId="69" fillId="0" borderId="0" xfId="0" applyFont="1" applyFill="1" applyBorder="1"/>
    <xf numFmtId="0" fontId="57" fillId="0" borderId="0" xfId="0" applyFont="1" applyFill="1" applyBorder="1"/>
    <xf numFmtId="3" fontId="57" fillId="0" borderId="0" xfId="0" applyNumberFormat="1" applyFont="1" applyFill="1" applyBorder="1" applyAlignment="1">
      <alignment horizontal="center"/>
    </xf>
    <xf numFmtId="165" fontId="3" fillId="0" borderId="0" xfId="28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37" fontId="3" fillId="0" borderId="0" xfId="28" applyNumberFormat="1" applyFont="1" applyFill="1" applyBorder="1"/>
    <xf numFmtId="165" fontId="3" fillId="0" borderId="0" xfId="28" applyNumberFormat="1" applyFont="1" applyFill="1" applyAlignment="1">
      <alignment horizontal="center"/>
    </xf>
    <xf numFmtId="165" fontId="2" fillId="0" borderId="12" xfId="28" applyNumberFormat="1" applyFont="1" applyFill="1" applyBorder="1"/>
    <xf numFmtId="0" fontId="56" fillId="0" borderId="0" xfId="0" applyFont="1" applyFill="1"/>
    <xf numFmtId="0" fontId="69" fillId="0" borderId="0" xfId="0" applyFont="1" applyFill="1" applyBorder="1" applyAlignment="1">
      <alignment horizontal="center"/>
    </xf>
    <xf numFmtId="3" fontId="69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11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44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44" applyFont="1" applyFill="1" applyBorder="1" applyAlignment="1">
      <alignment horizontal="left"/>
    </xf>
    <xf numFmtId="165" fontId="54" fillId="0" borderId="0" xfId="29" applyNumberFormat="1" applyFont="1" applyFill="1" applyBorder="1" applyAlignment="1">
      <alignment horizontal="center"/>
    </xf>
    <xf numFmtId="0" fontId="4" fillId="0" borderId="0" xfId="44" applyFont="1" applyFill="1" applyBorder="1" applyAlignment="1">
      <alignment horizontal="right"/>
    </xf>
    <xf numFmtId="0" fontId="4" fillId="0" borderId="0" xfId="44" applyFont="1" applyFill="1" applyBorder="1"/>
    <xf numFmtId="0" fontId="4" fillId="0" borderId="0" xfId="44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165" fontId="3" fillId="0" borderId="0" xfId="28" applyNumberFormat="1" applyFont="1" applyFill="1" applyBorder="1" applyAlignment="1">
      <alignment horizontal="center"/>
    </xf>
    <xf numFmtId="165" fontId="3" fillId="0" borderId="0" xfId="28" applyNumberFormat="1" applyFont="1" applyFill="1" applyBorder="1"/>
    <xf numFmtId="165" fontId="4" fillId="0" borderId="0" xfId="28" applyNumberFormat="1" applyFont="1" applyFill="1"/>
    <xf numFmtId="0" fontId="4" fillId="0" borderId="0" xfId="0" applyFont="1" applyFill="1" applyBorder="1" applyAlignment="1">
      <alignment horizontal="left"/>
    </xf>
    <xf numFmtId="165" fontId="4" fillId="0" borderId="0" xfId="28" applyNumberFormat="1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1" fontId="4" fillId="0" borderId="0" xfId="44" applyNumberFormat="1" applyFont="1" applyFill="1"/>
    <xf numFmtId="0" fontId="3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44" applyFont="1" applyFill="1" applyAlignment="1">
      <alignment horizontal="center"/>
    </xf>
    <xf numFmtId="0" fontId="3" fillId="0" borderId="0" xfId="44" applyFont="1" applyFill="1" applyBorder="1" applyAlignment="1">
      <alignment horizontal="right"/>
    </xf>
    <xf numFmtId="0" fontId="4" fillId="0" borderId="10" xfId="0" applyFont="1" applyFill="1" applyBorder="1"/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/>
    <xf numFmtId="0" fontId="53" fillId="0" borderId="0" xfId="46" applyFont="1" applyFill="1" applyAlignment="1">
      <alignment vertical="center"/>
    </xf>
    <xf numFmtId="0" fontId="3" fillId="0" borderId="0" xfId="0" applyFont="1" applyFill="1" applyAlignment="1">
      <alignment vertical="top" wrapText="1"/>
    </xf>
    <xf numFmtId="0" fontId="53" fillId="0" borderId="0" xfId="46" applyFont="1" applyFill="1"/>
    <xf numFmtId="0" fontId="25" fillId="0" borderId="11" xfId="46" applyFont="1" applyFill="1" applyBorder="1"/>
    <xf numFmtId="0" fontId="25" fillId="0" borderId="11" xfId="46" applyFont="1" applyFill="1" applyBorder="1" applyAlignment="1">
      <alignment horizontal="right"/>
    </xf>
    <xf numFmtId="0" fontId="25" fillId="0" borderId="0" xfId="46" applyFont="1" applyFill="1" applyBorder="1"/>
    <xf numFmtId="0" fontId="61" fillId="0" borderId="0" xfId="46" applyFont="1" applyFill="1" applyBorder="1"/>
    <xf numFmtId="0" fontId="25" fillId="0" borderId="0" xfId="46" applyFont="1" applyFill="1" applyBorder="1" applyAlignment="1">
      <alignment horizontal="right"/>
    </xf>
    <xf numFmtId="0" fontId="61" fillId="0" borderId="0" xfId="46" applyFont="1" applyFill="1"/>
    <xf numFmtId="165" fontId="53" fillId="0" borderId="0" xfId="28" applyNumberFormat="1" applyFont="1" applyFill="1" applyBorder="1" applyAlignment="1">
      <alignment horizontal="right"/>
    </xf>
    <xf numFmtId="165" fontId="53" fillId="0" borderId="0" xfId="28" applyNumberFormat="1" applyFont="1" applyFill="1" applyBorder="1" applyAlignment="1"/>
    <xf numFmtId="0" fontId="4" fillId="0" borderId="0" xfId="44" applyFont="1" applyFill="1" applyBorder="1" applyAlignment="1">
      <alignment horizontal="left" indent="2"/>
    </xf>
    <xf numFmtId="165" fontId="54" fillId="0" borderId="0" xfId="28" applyNumberFormat="1" applyFont="1" applyFill="1" applyBorder="1" applyAlignment="1">
      <alignment horizontal="right"/>
    </xf>
    <xf numFmtId="165" fontId="54" fillId="0" borderId="0" xfId="28" applyNumberFormat="1" applyFont="1" applyFill="1" applyBorder="1" applyAlignment="1"/>
    <xf numFmtId="0" fontId="4" fillId="0" borderId="0" xfId="0" applyFont="1" applyFill="1" applyBorder="1" applyAlignment="1">
      <alignment horizontal="left" indent="2"/>
    </xf>
    <xf numFmtId="0" fontId="60" fillId="0" borderId="0" xfId="46" applyFont="1" applyFill="1" applyAlignment="1"/>
    <xf numFmtId="37" fontId="3" fillId="0" borderId="0" xfId="28" applyNumberFormat="1" applyFont="1" applyFill="1"/>
    <xf numFmtId="37" fontId="11" fillId="0" borderId="0" xfId="28" applyNumberFormat="1" applyFont="1" applyFill="1" applyAlignment="1">
      <alignment horizontal="right"/>
    </xf>
    <xf numFmtId="37" fontId="11" fillId="0" borderId="0" xfId="28" applyNumberFormat="1" applyFont="1" applyFill="1" applyAlignment="1"/>
    <xf numFmtId="0" fontId="56" fillId="0" borderId="0" xfId="0" applyFont="1" applyFill="1" applyAlignment="1">
      <alignment horizontal="right"/>
    </xf>
    <xf numFmtId="0" fontId="73" fillId="0" borderId="0" xfId="46" applyFont="1" applyFill="1" applyAlignment="1">
      <alignment horizontal="right"/>
    </xf>
    <xf numFmtId="0" fontId="60" fillId="0" borderId="0" xfId="46" applyNumberFormat="1" applyFont="1" applyFill="1" applyAlignment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65" fontId="26" fillId="0" borderId="0" xfId="28" applyNumberFormat="1" applyFont="1" applyFill="1" applyBorder="1" applyAlignment="1">
      <alignment horizontal="right"/>
    </xf>
    <xf numFmtId="165" fontId="26" fillId="0" borderId="0" xfId="28" applyNumberFormat="1" applyFont="1" applyFill="1" applyBorder="1" applyAlignment="1"/>
    <xf numFmtId="0" fontId="61" fillId="0" borderId="10" xfId="46" applyFont="1" applyFill="1" applyBorder="1"/>
    <xf numFmtId="0" fontId="60" fillId="0" borderId="10" xfId="46" applyFont="1" applyFill="1" applyBorder="1" applyAlignment="1">
      <alignment horizontal="right"/>
    </xf>
    <xf numFmtId="0" fontId="60" fillId="0" borderId="10" xfId="46" applyFont="1" applyFill="1" applyBorder="1" applyAlignment="1"/>
    <xf numFmtId="0" fontId="60" fillId="0" borderId="0" xfId="46" applyFont="1" applyFill="1" applyAlignment="1">
      <alignment horizontal="left"/>
    </xf>
    <xf numFmtId="0" fontId="60" fillId="0" borderId="0" xfId="46" applyFont="1" applyFill="1" applyAlignment="1">
      <alignment wrapText="1"/>
    </xf>
    <xf numFmtId="0" fontId="20" fillId="0" borderId="0" xfId="0" applyFont="1" applyFill="1" applyAlignment="1">
      <alignment horizontal="right"/>
    </xf>
    <xf numFmtId="0" fontId="62" fillId="0" borderId="12" xfId="46" applyFont="1" applyFill="1" applyBorder="1"/>
    <xf numFmtId="0" fontId="62" fillId="0" borderId="12" xfId="46" applyFont="1" applyFill="1" applyBorder="1" applyAlignment="1">
      <alignment horizontal="center"/>
    </xf>
    <xf numFmtId="0" fontId="61" fillId="0" borderId="12" xfId="46" applyFont="1" applyFill="1" applyBorder="1" applyAlignment="1">
      <alignment horizontal="left" indent="2"/>
    </xf>
    <xf numFmtId="165" fontId="60" fillId="0" borderId="0" xfId="46" applyNumberFormat="1" applyFont="1" applyFill="1"/>
    <xf numFmtId="0" fontId="71" fillId="0" borderId="0" xfId="46" applyFont="1" applyFill="1"/>
    <xf numFmtId="0" fontId="61" fillId="0" borderId="12" xfId="46" applyFont="1" applyFill="1" applyBorder="1"/>
    <xf numFmtId="165" fontId="61" fillId="0" borderId="12" xfId="28" applyNumberFormat="1" applyFont="1" applyFill="1" applyBorder="1"/>
    <xf numFmtId="37" fontId="62" fillId="0" borderId="12" xfId="28" applyNumberFormat="1" applyFont="1" applyFill="1" applyBorder="1"/>
    <xf numFmtId="165" fontId="61" fillId="0" borderId="12" xfId="28" applyNumberFormat="1" applyFont="1" applyFill="1" applyBorder="1" applyAlignment="1">
      <alignment horizontal="center"/>
    </xf>
    <xf numFmtId="0" fontId="61" fillId="0" borderId="0" xfId="46" applyFont="1" applyFill="1" applyAlignment="1">
      <alignment horizontal="left"/>
    </xf>
    <xf numFmtId="0" fontId="61" fillId="0" borderId="0" xfId="46" applyFont="1" applyFill="1" applyAlignment="1">
      <alignment horizontal="left" vertical="top"/>
    </xf>
    <xf numFmtId="0" fontId="63" fillId="0" borderId="0" xfId="46" applyFont="1" applyFill="1"/>
    <xf numFmtId="0" fontId="53" fillId="0" borderId="0" xfId="46" applyFont="1" applyFill="1" applyBorder="1"/>
    <xf numFmtId="0" fontId="62" fillId="0" borderId="0" xfId="46" applyFont="1" applyFill="1" applyBorder="1" applyAlignment="1">
      <alignment horizontal="center"/>
    </xf>
    <xf numFmtId="0" fontId="60" fillId="0" borderId="0" xfId="46" applyFont="1" applyFill="1" applyBorder="1"/>
    <xf numFmtId="0" fontId="67" fillId="0" borderId="0" xfId="46" applyFont="1" applyFill="1" applyBorder="1"/>
    <xf numFmtId="0" fontId="65" fillId="0" borderId="0" xfId="46" applyFont="1" applyFill="1" applyBorder="1"/>
    <xf numFmtId="0" fontId="63" fillId="0" borderId="0" xfId="46" applyFont="1" applyFill="1" applyBorder="1"/>
    <xf numFmtId="0" fontId="62" fillId="0" borderId="0" xfId="46" applyFont="1" applyFill="1" applyBorder="1" applyAlignment="1"/>
    <xf numFmtId="165" fontId="59" fillId="0" borderId="12" xfId="28" applyNumberFormat="1" applyFont="1" applyFill="1" applyBorder="1" applyAlignment="1"/>
    <xf numFmtId="165" fontId="2" fillId="0" borderId="12" xfId="28" applyNumberFormat="1" applyFont="1" applyFill="1" applyBorder="1" applyAlignment="1"/>
    <xf numFmtId="0" fontId="76" fillId="0" borderId="0" xfId="0" applyFont="1" applyFill="1"/>
    <xf numFmtId="0" fontId="11" fillId="0" borderId="0" xfId="0" applyFont="1" applyFill="1" applyAlignment="1"/>
    <xf numFmtId="0" fontId="11" fillId="0" borderId="0" xfId="0" applyFont="1" applyFill="1" applyAlignment="1">
      <alignment horizontal="left"/>
    </xf>
    <xf numFmtId="0" fontId="11" fillId="0" borderId="11" xfId="0" applyFont="1" applyFill="1" applyBorder="1" applyAlignment="1">
      <alignment horizontal="right"/>
    </xf>
    <xf numFmtId="0" fontId="11" fillId="0" borderId="11" xfId="0" applyFont="1" applyFill="1" applyBorder="1"/>
    <xf numFmtId="0" fontId="56" fillId="0" borderId="0" xfId="0" applyFont="1" applyFill="1" applyBorder="1"/>
    <xf numFmtId="0" fontId="11" fillId="0" borderId="0" xfId="0" applyFont="1" applyFill="1"/>
    <xf numFmtId="165" fontId="56" fillId="0" borderId="0" xfId="28" applyNumberFormat="1" applyFont="1" applyFill="1"/>
    <xf numFmtId="165" fontId="56" fillId="0" borderId="0" xfId="28" applyNumberFormat="1" applyFont="1" applyFill="1" applyAlignment="1">
      <alignment horizontal="right"/>
    </xf>
    <xf numFmtId="165" fontId="56" fillId="0" borderId="0" xfId="0" applyNumberFormat="1" applyFont="1" applyFill="1"/>
    <xf numFmtId="43" fontId="56" fillId="0" borderId="0" xfId="0" applyNumberFormat="1" applyFont="1" applyFill="1"/>
    <xf numFmtId="164" fontId="56" fillId="0" borderId="0" xfId="28" applyNumberFormat="1" applyFont="1" applyFill="1"/>
    <xf numFmtId="164" fontId="56" fillId="0" borderId="0" xfId="28" applyNumberFormat="1" applyFont="1" applyFill="1" applyAlignment="1">
      <alignment horizontal="right"/>
    </xf>
    <xf numFmtId="167" fontId="56" fillId="0" borderId="0" xfId="0" applyNumberFormat="1" applyFont="1" applyFill="1"/>
    <xf numFmtId="1" fontId="56" fillId="0" borderId="0" xfId="0" applyNumberFormat="1" applyFont="1" applyFill="1"/>
    <xf numFmtId="0" fontId="76" fillId="0" borderId="0" xfId="0" applyFont="1" applyFill="1" applyAlignment="1">
      <alignment vertical="center"/>
    </xf>
    <xf numFmtId="0" fontId="76" fillId="0" borderId="0" xfId="0" applyFont="1" applyFill="1" applyBorder="1" applyAlignment="1">
      <alignment vertical="center"/>
    </xf>
    <xf numFmtId="0" fontId="56" fillId="0" borderId="10" xfId="0" applyFont="1" applyFill="1" applyBorder="1"/>
    <xf numFmtId="165" fontId="56" fillId="0" borderId="10" xfId="28" applyNumberFormat="1" applyFont="1" applyFill="1" applyBorder="1"/>
    <xf numFmtId="0" fontId="77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55" fillId="0" borderId="0" xfId="0" applyFont="1" applyFill="1" applyAlignment="1">
      <alignment vertical="top"/>
    </xf>
    <xf numFmtId="0" fontId="56" fillId="0" borderId="0" xfId="0" applyFont="1" applyFill="1" applyAlignment="1"/>
    <xf numFmtId="0" fontId="56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0" xfId="0" applyFont="1" applyFill="1"/>
    <xf numFmtId="0" fontId="3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67" fontId="4" fillId="0" borderId="0" xfId="0" applyNumberFormat="1" applyFont="1" applyFill="1" applyBorder="1" applyAlignment="1">
      <alignment horizontal="center"/>
    </xf>
    <xf numFmtId="0" fontId="26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left" indent="1"/>
    </xf>
    <xf numFmtId="0" fontId="0" fillId="0" borderId="0" xfId="0" applyFill="1" applyAlignment="1">
      <alignment horizontal="right"/>
    </xf>
    <xf numFmtId="0" fontId="4" fillId="0" borderId="0" xfId="28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left" indent="1"/>
    </xf>
    <xf numFmtId="0" fontId="3" fillId="0" borderId="10" xfId="0" applyFont="1" applyFill="1" applyBorder="1" applyAlignment="1">
      <alignment horizontal="right"/>
    </xf>
    <xf numFmtId="0" fontId="55" fillId="0" borderId="0" xfId="0" applyFont="1" applyFill="1" applyAlignment="1">
      <alignment horizontal="right" vertical="center"/>
    </xf>
    <xf numFmtId="0" fontId="5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1" fillId="0" borderId="11" xfId="0" applyFont="1" applyFill="1" applyBorder="1" applyAlignment="1">
      <alignment horizontal="center"/>
    </xf>
    <xf numFmtId="0" fontId="11" fillId="0" borderId="11" xfId="51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56" fillId="0" borderId="0" xfId="51" applyFont="1" applyFill="1"/>
    <xf numFmtId="0" fontId="11" fillId="0" borderId="0" xfId="51" applyFont="1" applyFill="1"/>
    <xf numFmtId="0" fontId="11" fillId="0" borderId="0" xfId="0" applyFont="1" applyFill="1" applyBorder="1" applyAlignment="1">
      <alignment wrapText="1"/>
    </xf>
    <xf numFmtId="0" fontId="56" fillId="0" borderId="0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56" fillId="0" borderId="10" xfId="51" applyFont="1" applyFill="1" applyBorder="1"/>
    <xf numFmtId="0" fontId="56" fillId="0" borderId="0" xfId="0" applyFont="1" applyFill="1" applyAlignment="1">
      <alignment horizontal="centerContinuous"/>
    </xf>
    <xf numFmtId="166" fontId="56" fillId="0" borderId="0" xfId="0" applyNumberFormat="1" applyFont="1" applyFill="1" applyAlignment="1"/>
    <xf numFmtId="49" fontId="4" fillId="0" borderId="10" xfId="50" applyNumberFormat="1" applyFont="1" applyFill="1" applyBorder="1"/>
    <xf numFmtId="49" fontId="4" fillId="0" borderId="0" xfId="50" applyNumberFormat="1" applyFont="1" applyFill="1" applyBorder="1"/>
    <xf numFmtId="0" fontId="3" fillId="0" borderId="10" xfId="50" applyFont="1" applyFill="1" applyBorder="1" applyAlignment="1">
      <alignment horizontal="left"/>
    </xf>
    <xf numFmtId="165" fontId="3" fillId="0" borderId="11" xfId="28" applyNumberFormat="1" applyFont="1" applyFill="1" applyBorder="1" applyAlignment="1">
      <alignment horizontal="right"/>
    </xf>
    <xf numFmtId="0" fontId="3" fillId="0" borderId="11" xfId="50" applyFont="1" applyFill="1" applyBorder="1" applyAlignment="1"/>
    <xf numFmtId="0" fontId="3" fillId="0" borderId="0" xfId="50" applyFont="1" applyFill="1" applyBorder="1" applyAlignment="1">
      <alignment horizontal="left"/>
    </xf>
    <xf numFmtId="0" fontId="4" fillId="0" borderId="13" xfId="50" applyFont="1" applyFill="1" applyBorder="1" applyAlignment="1"/>
    <xf numFmtId="165" fontId="4" fillId="0" borderId="0" xfId="28" applyNumberFormat="1" applyFont="1" applyFill="1" applyBorder="1" applyAlignment="1"/>
    <xf numFmtId="0" fontId="4" fillId="0" borderId="0" xfId="50" applyFont="1" applyFill="1" applyBorder="1" applyAlignment="1">
      <alignment horizontal="center"/>
    </xf>
    <xf numFmtId="165" fontId="4" fillId="0" borderId="10" xfId="28" applyNumberFormat="1" applyFont="1" applyFill="1" applyBorder="1" applyAlignment="1">
      <alignment horizontal="center"/>
    </xf>
    <xf numFmtId="0" fontId="3" fillId="0" borderId="0" xfId="50" applyFont="1" applyFill="1"/>
    <xf numFmtId="0" fontId="4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0" xfId="0" applyFont="1" applyFill="1" applyBorder="1"/>
    <xf numFmtId="0" fontId="68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65" fontId="70" fillId="0" borderId="12" xfId="28" applyNumberFormat="1" applyFont="1" applyFill="1" applyBorder="1"/>
    <xf numFmtId="0" fontId="68" fillId="0" borderId="12" xfId="0" applyFont="1" applyFill="1" applyBorder="1"/>
    <xf numFmtId="165" fontId="5" fillId="0" borderId="12" xfId="28" applyNumberFormat="1" applyFont="1" applyFill="1" applyBorder="1"/>
    <xf numFmtId="165" fontId="78" fillId="0" borderId="12" xfId="28" applyNumberFormat="1" applyFont="1" applyFill="1" applyBorder="1" applyAlignment="1">
      <alignment horizontal="center"/>
    </xf>
    <xf numFmtId="0" fontId="68" fillId="0" borderId="14" xfId="0" applyFont="1" applyFill="1" applyBorder="1"/>
    <xf numFmtId="0" fontId="4" fillId="0" borderId="20" xfId="0" applyFont="1" applyFill="1" applyBorder="1" applyAlignment="1">
      <alignment wrapText="1"/>
    </xf>
    <xf numFmtId="3" fontId="4" fillId="0" borderId="12" xfId="0" applyNumberFormat="1" applyFont="1" applyFill="1" applyBorder="1" applyAlignment="1">
      <alignment horizontal="center"/>
    </xf>
    <xf numFmtId="0" fontId="68" fillId="0" borderId="15" xfId="0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68" fillId="0" borderId="16" xfId="0" applyFont="1" applyFill="1" applyBorder="1"/>
    <xf numFmtId="3" fontId="68" fillId="0" borderId="12" xfId="0" applyNumberFormat="1" applyFont="1" applyFill="1" applyBorder="1" applyAlignment="1">
      <alignment horizontal="center"/>
    </xf>
    <xf numFmtId="0" fontId="66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60" fillId="0" borderId="0" xfId="46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61" fillId="0" borderId="0" xfId="46" applyFont="1" applyFill="1" applyAlignment="1">
      <alignment horizontal="left" vertical="top" wrapText="1"/>
    </xf>
    <xf numFmtId="0" fontId="20" fillId="0" borderId="0" xfId="0" applyFont="1" applyFill="1" applyAlignment="1">
      <alignment horizontal="right"/>
    </xf>
    <xf numFmtId="165" fontId="4" fillId="0" borderId="0" xfId="28" applyNumberFormat="1" applyFont="1" applyFill="1" applyBorder="1"/>
    <xf numFmtId="165" fontId="4" fillId="0" borderId="0" xfId="28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3" fillId="0" borderId="0" xfId="46" applyFont="1" applyFill="1" applyAlignment="1">
      <alignment horizontal="center"/>
    </xf>
    <xf numFmtId="0" fontId="11" fillId="0" borderId="0" xfId="44" applyFont="1" applyFill="1" applyAlignment="1">
      <alignment horizontal="right"/>
    </xf>
    <xf numFmtId="0" fontId="63" fillId="0" borderId="0" xfId="46" applyFont="1" applyFill="1" applyAlignment="1">
      <alignment vertical="top"/>
    </xf>
    <xf numFmtId="0" fontId="61" fillId="0" borderId="0" xfId="46" applyNumberFormat="1" applyFont="1" applyFill="1" applyBorder="1" applyAlignment="1">
      <alignment horizontal="center" wrapText="1"/>
    </xf>
    <xf numFmtId="0" fontId="62" fillId="0" borderId="0" xfId="46" applyFont="1" applyFill="1" applyBorder="1" applyAlignment="1">
      <alignment horizontal="center" wrapText="1"/>
    </xf>
    <xf numFmtId="165" fontId="61" fillId="0" borderId="12" xfId="28" quotePrefix="1" applyNumberFormat="1" applyFont="1" applyFill="1" applyBorder="1"/>
    <xf numFmtId="0" fontId="0" fillId="0" borderId="11" xfId="0" applyFill="1" applyBorder="1"/>
    <xf numFmtId="0" fontId="3" fillId="0" borderId="11" xfId="0" applyFont="1" applyFill="1" applyBorder="1" applyAlignment="1">
      <alignment horizontal="right"/>
    </xf>
    <xf numFmtId="165" fontId="0" fillId="0" borderId="0" xfId="28" applyNumberFormat="1" applyFont="1" applyFill="1"/>
    <xf numFmtId="165" fontId="0" fillId="0" borderId="0" xfId="0" applyNumberFormat="1" applyFill="1"/>
    <xf numFmtId="37" fontId="3" fillId="0" borderId="0" xfId="0" applyNumberFormat="1" applyFont="1" applyFill="1" applyBorder="1"/>
    <xf numFmtId="39" fontId="4" fillId="0" borderId="0" xfId="0" applyNumberFormat="1" applyFont="1" applyFill="1" applyBorder="1"/>
    <xf numFmtId="39" fontId="3" fillId="0" borderId="0" xfId="0" applyNumberFormat="1" applyFont="1" applyFill="1" applyBorder="1"/>
    <xf numFmtId="37" fontId="21" fillId="0" borderId="0" xfId="0" applyNumberFormat="1" applyFont="1" applyFill="1" applyBorder="1"/>
    <xf numFmtId="37" fontId="52" fillId="0" borderId="0" xfId="28" applyNumberFormat="1" applyFont="1" applyFill="1" applyBorder="1"/>
    <xf numFmtId="0" fontId="0" fillId="0" borderId="0" xfId="0" applyFill="1" applyAlignment="1">
      <alignment horizontal="centerContinuous"/>
    </xf>
    <xf numFmtId="166" fontId="0" fillId="0" borderId="0" xfId="0" applyNumberFormat="1" applyFill="1" applyAlignment="1"/>
    <xf numFmtId="165" fontId="3" fillId="0" borderId="0" xfId="28" applyNumberFormat="1" applyFont="1" applyFill="1"/>
    <xf numFmtId="165" fontId="3" fillId="0" borderId="0" xfId="0" applyNumberFormat="1" applyFont="1" applyFill="1"/>
    <xf numFmtId="37" fontId="0" fillId="0" borderId="0" xfId="0" applyNumberFormat="1" applyFill="1"/>
    <xf numFmtId="39" fontId="3" fillId="0" borderId="10" xfId="0" applyNumberFormat="1" applyFont="1" applyFill="1" applyBorder="1"/>
    <xf numFmtId="37" fontId="0" fillId="0" borderId="0" xfId="0" applyNumberForma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/>
    <xf numFmtId="39" fontId="4" fillId="0" borderId="10" xfId="28" applyNumberFormat="1" applyFont="1" applyFill="1" applyBorder="1"/>
    <xf numFmtId="39" fontId="3" fillId="0" borderId="10" xfId="28" applyNumberFormat="1" applyFont="1" applyFill="1" applyBorder="1"/>
    <xf numFmtId="39" fontId="4" fillId="0" borderId="0" xfId="28" applyNumberFormat="1" applyFont="1" applyFill="1" applyBorder="1"/>
    <xf numFmtId="39" fontId="3" fillId="0" borderId="0" xfId="28" applyNumberFormat="1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5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0" fillId="0" borderId="0" xfId="46" applyFont="1" applyFill="1" applyAlignment="1">
      <alignment horizontal="left" wrapText="1"/>
    </xf>
    <xf numFmtId="0" fontId="60" fillId="0" borderId="0" xfId="46" applyFont="1" applyFill="1" applyAlignment="1">
      <alignment horizontal="center"/>
    </xf>
    <xf numFmtId="0" fontId="62" fillId="0" borderId="13" xfId="46" applyFont="1" applyFill="1" applyBorder="1" applyAlignment="1">
      <alignment horizontal="left" wrapText="1"/>
    </xf>
    <xf numFmtId="0" fontId="62" fillId="0" borderId="10" xfId="46" applyFont="1" applyFill="1" applyBorder="1" applyAlignment="1">
      <alignment horizontal="left" wrapText="1"/>
    </xf>
    <xf numFmtId="0" fontId="62" fillId="0" borderId="11" xfId="46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61" fillId="0" borderId="0" xfId="46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60" fillId="0" borderId="0" xfId="46" applyFont="1" applyFill="1" applyAlignment="1">
      <alignment horizontal="center" wrapText="1"/>
    </xf>
    <xf numFmtId="0" fontId="63" fillId="0" borderId="0" xfId="46" applyFont="1" applyFill="1" applyAlignment="1">
      <alignment horizontal="center" wrapText="1"/>
    </xf>
    <xf numFmtId="0" fontId="77" fillId="0" borderId="10" xfId="0" applyFont="1" applyFill="1" applyBorder="1" applyAlignment="1">
      <alignment horizontal="right"/>
    </xf>
    <xf numFmtId="0" fontId="4" fillId="0" borderId="0" xfId="0" applyFont="1" applyFill="1" applyAlignment="1">
      <alignment horizontal="left" vertical="top" wrapText="1"/>
    </xf>
    <xf numFmtId="0" fontId="27" fillId="0" borderId="0" xfId="49" applyFont="1" applyFill="1" applyAlignment="1">
      <alignment horizontal="right"/>
    </xf>
    <xf numFmtId="0" fontId="5" fillId="19" borderId="0" xfId="49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55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wrapText="1"/>
    </xf>
    <xf numFmtId="0" fontId="7" fillId="19" borderId="11" xfId="28" applyNumberFormat="1" applyFont="1" applyFill="1" applyBorder="1" applyAlignment="1">
      <alignment horizontal="center"/>
    </xf>
    <xf numFmtId="0" fontId="4" fillId="19" borderId="13" xfId="50" applyFill="1" applyBorder="1" applyAlignment="1">
      <alignment horizontal="center"/>
    </xf>
    <xf numFmtId="165" fontId="4" fillId="19" borderId="0" xfId="28" applyNumberFormat="1" applyFill="1"/>
    <xf numFmtId="0" fontId="5" fillId="19" borderId="0" xfId="50" applyFont="1" applyFill="1" applyAlignment="1">
      <alignment horizontal="center"/>
    </xf>
    <xf numFmtId="0" fontId="7" fillId="19" borderId="11" xfId="50" applyFont="1" applyFill="1" applyBorder="1" applyAlignment="1">
      <alignment horizontal="center"/>
    </xf>
    <xf numFmtId="165" fontId="7" fillId="19" borderId="0" xfId="28" applyNumberFormat="1" applyFont="1" applyFill="1"/>
    <xf numFmtId="0" fontId="4" fillId="19" borderId="0" xfId="50" applyFill="1" applyAlignment="1">
      <alignment horizontal="left"/>
    </xf>
    <xf numFmtId="165" fontId="4" fillId="19" borderId="10" xfId="28" applyNumberFormat="1" applyFill="1" applyBorder="1"/>
    <xf numFmtId="0" fontId="66" fillId="19" borderId="0" xfId="0" applyFont="1" applyFill="1" applyBorder="1" applyAlignment="1">
      <alignment horizontal="center"/>
    </xf>
    <xf numFmtId="0" fontId="59" fillId="19" borderId="11" xfId="0" applyFont="1" applyFill="1" applyBorder="1" applyAlignment="1">
      <alignment horizontal="center"/>
    </xf>
    <xf numFmtId="0" fontId="59" fillId="19" borderId="21" xfId="0" applyFont="1" applyFill="1" applyBorder="1" applyAlignment="1">
      <alignment horizontal="center"/>
    </xf>
    <xf numFmtId="0" fontId="59" fillId="19" borderId="20" xfId="0" applyFont="1" applyFill="1" applyBorder="1" applyAlignment="1">
      <alignment horizontal="center"/>
    </xf>
    <xf numFmtId="0" fontId="59" fillId="19" borderId="13" xfId="0" applyNumberFormat="1" applyFont="1" applyFill="1" applyBorder="1" applyAlignment="1">
      <alignment horizontal="center"/>
    </xf>
    <xf numFmtId="0" fontId="66" fillId="19" borderId="10" xfId="0" applyFont="1" applyFill="1" applyBorder="1" applyAlignment="1">
      <alignment horizontal="center"/>
    </xf>
    <xf numFmtId="0" fontId="5" fillId="0" borderId="0" xfId="50" applyFont="1" applyFill="1" applyAlignment="1">
      <alignment horizontal="center"/>
    </xf>
    <xf numFmtId="0" fontId="3" fillId="0" borderId="11" xfId="28" applyNumberFormat="1" applyFont="1" applyFill="1" applyBorder="1" applyAlignment="1">
      <alignment horizontal="center"/>
    </xf>
    <xf numFmtId="0" fontId="68" fillId="0" borderId="13" xfId="0" applyNumberFormat="1" applyFont="1" applyFill="1" applyBorder="1" applyAlignment="1">
      <alignment horizontal="center"/>
    </xf>
    <xf numFmtId="3" fontId="61" fillId="0" borderId="0" xfId="0" applyNumberFormat="1" applyFont="1" applyFill="1" applyBorder="1" applyAlignment="1">
      <alignment horizontal="left"/>
    </xf>
    <xf numFmtId="0" fontId="61" fillId="0" borderId="0" xfId="0" applyFont="1" applyFill="1" applyBorder="1" applyAlignment="1">
      <alignment horizontal="left"/>
    </xf>
    <xf numFmtId="0" fontId="69" fillId="0" borderId="0" xfId="0" applyFont="1" applyFill="1" applyBorder="1" applyAlignment="1">
      <alignment horizontal="center"/>
    </xf>
    <xf numFmtId="3" fontId="69" fillId="0" borderId="0" xfId="0" applyNumberFormat="1" applyFont="1" applyFill="1" applyBorder="1" applyAlignment="1">
      <alignment horizontal="center"/>
    </xf>
    <xf numFmtId="0" fontId="69" fillId="0" borderId="0" xfId="0" applyNumberFormat="1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66" fillId="0" borderId="10" xfId="0" applyFont="1" applyFill="1" applyBorder="1" applyAlignment="1">
      <alignment horizontal="center"/>
    </xf>
    <xf numFmtId="0" fontId="68" fillId="0" borderId="20" xfId="0" applyFont="1" applyFill="1" applyBorder="1" applyAlignment="1">
      <alignment horizontal="center"/>
    </xf>
    <xf numFmtId="0" fontId="68" fillId="0" borderId="11" xfId="0" applyFont="1" applyFill="1" applyBorder="1" applyAlignment="1">
      <alignment horizontal="center"/>
    </xf>
    <xf numFmtId="0" fontId="68" fillId="0" borderId="21" xfId="0" applyFont="1" applyFill="1" applyBorder="1" applyAlignment="1">
      <alignment horizontal="center"/>
    </xf>
    <xf numFmtId="0" fontId="63" fillId="0" borderId="0" xfId="33" applyNumberFormat="1" applyFont="1" applyFill="1" applyBorder="1" applyAlignment="1">
      <alignment horizontal="right" wrapText="1"/>
    </xf>
    <xf numFmtId="0" fontId="63" fillId="0" borderId="0" xfId="0" applyFont="1" applyFill="1" applyBorder="1" applyAlignment="1">
      <alignment horizontal="right"/>
    </xf>
  </cellXfs>
  <cellStyles count="5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3" xfId="30" xr:uid="{00000000-0005-0000-0000-00001D000000}"/>
    <cellStyle name="Comma_EDUCAT Chapter 2" xfId="31" xr:uid="{00000000-0005-0000-0000-00001E000000}"/>
    <cellStyle name="Comma_POP &amp; VITAL Chapter 11" xfId="32" xr:uid="{00000000-0005-0000-0000-00001F000000}"/>
    <cellStyle name="Currency" xfId="33" builtinId="4"/>
    <cellStyle name="Explanatory Text 2" xfId="34" xr:uid="{00000000-0005-0000-0000-000022000000}"/>
    <cellStyle name="Good 2" xfId="35" xr:uid="{00000000-0005-0000-0000-000023000000}"/>
    <cellStyle name="Heading 1 2" xfId="36" xr:uid="{00000000-0005-0000-0000-000024000000}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Input 2" xfId="40" xr:uid="{00000000-0005-0000-0000-000028000000}"/>
    <cellStyle name="Linked Cell 2" xfId="41" xr:uid="{00000000-0005-0000-0000-000029000000}"/>
    <cellStyle name="Neutral 2" xfId="42" xr:uid="{00000000-0005-0000-0000-00002A000000}"/>
    <cellStyle name="Normal" xfId="0" builtinId="0"/>
    <cellStyle name="Normal 2" xfId="43" xr:uid="{00000000-0005-0000-0000-00002C000000}"/>
    <cellStyle name="Normal 2 2" xfId="44" xr:uid="{00000000-0005-0000-0000-00002D000000}"/>
    <cellStyle name="Normal 2 3" xfId="45" xr:uid="{00000000-0005-0000-0000-00002E000000}"/>
    <cellStyle name="Normal 3" xfId="46" xr:uid="{00000000-0005-0000-0000-00002F000000}"/>
    <cellStyle name="Normal 4" xfId="47" xr:uid="{00000000-0005-0000-0000-000030000000}"/>
    <cellStyle name="Normal 8" xfId="48" xr:uid="{00000000-0005-0000-0000-000031000000}"/>
    <cellStyle name="Normal_EDUCAT Chapter 2" xfId="49" xr:uid="{00000000-0005-0000-0000-000032000000}"/>
    <cellStyle name="Normal_POP &amp; VITAL Chapter 11" xfId="50" xr:uid="{00000000-0005-0000-0000-000033000000}"/>
    <cellStyle name="Normal_Sheet1" xfId="51" xr:uid="{00000000-0005-0000-0000-000034000000}"/>
    <cellStyle name="Note 2" xfId="52" xr:uid="{00000000-0005-0000-0000-000035000000}"/>
    <cellStyle name="Output 2" xfId="53" xr:uid="{00000000-0005-0000-0000-000036000000}"/>
    <cellStyle name="Title 2" xfId="54" xr:uid="{00000000-0005-0000-0000-000037000000}"/>
    <cellStyle name="Total 2" xfId="55" xr:uid="{00000000-0005-0000-0000-000038000000}"/>
    <cellStyle name="Warning Text 2" xfId="56" xr:uid="{00000000-0005-0000-0000-00003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9525</xdr:rowOff>
        </xdr:from>
        <xdr:to>
          <xdr:col>1</xdr:col>
          <xdr:colOff>104775</xdr:colOff>
          <xdr:row>0</xdr:row>
          <xdr:rowOff>57150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9525</xdr:rowOff>
        </xdr:from>
        <xdr:to>
          <xdr:col>1</xdr:col>
          <xdr:colOff>104775</xdr:colOff>
          <xdr:row>0</xdr:row>
          <xdr:rowOff>57150</xdr:rowOff>
        </xdr:to>
        <xdr:sp macro="" textlink="">
          <xdr:nvSpPr>
            <xdr:cNvPr id="21506" name="Object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9525</xdr:rowOff>
        </xdr:from>
        <xdr:to>
          <xdr:col>1</xdr:col>
          <xdr:colOff>104775</xdr:colOff>
          <xdr:row>0</xdr:row>
          <xdr:rowOff>57150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1</xdr:col>
          <xdr:colOff>247650</xdr:colOff>
          <xdr:row>2</xdr:row>
          <xdr:rowOff>114300</xdr:rowOff>
        </xdr:to>
        <xdr:sp macro="" textlink="">
          <xdr:nvSpPr>
            <xdr:cNvPr id="21508" name="Object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47625</xdr:rowOff>
        </xdr:from>
        <xdr:to>
          <xdr:col>1</xdr:col>
          <xdr:colOff>228600</xdr:colOff>
          <xdr:row>1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0</xdr:col>
          <xdr:colOff>323850</xdr:colOff>
          <xdr:row>0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628650</xdr:colOff>
          <xdr:row>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D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57150</xdr:rowOff>
        </xdr:from>
        <xdr:to>
          <xdr:col>1</xdr:col>
          <xdr:colOff>66675</xdr:colOff>
          <xdr:row>2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E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9525</xdr:colOff>
          <xdr:row>3</xdr:row>
          <xdr:rowOff>85725</xdr:rowOff>
        </xdr:to>
        <xdr:sp macro="" textlink="">
          <xdr:nvSpPr>
            <xdr:cNvPr id="39941" name="Object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10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247650</xdr:colOff>
          <xdr:row>2</xdr:row>
          <xdr:rowOff>66675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1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57150</xdr:rowOff>
        </xdr:from>
        <xdr:to>
          <xdr:col>2</xdr:col>
          <xdr:colOff>247650</xdr:colOff>
          <xdr:row>0</xdr:row>
          <xdr:rowOff>161925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2</xdr:col>
          <xdr:colOff>28575</xdr:colOff>
          <xdr:row>0</xdr:row>
          <xdr:rowOff>161925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13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438150</xdr:colOff>
          <xdr:row>3</xdr:row>
          <xdr:rowOff>85725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14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95250</xdr:rowOff>
        </xdr:from>
        <xdr:to>
          <xdr:col>2</xdr:col>
          <xdr:colOff>1314450</xdr:colOff>
          <xdr:row>3</xdr:row>
          <xdr:rowOff>152400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15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95250</xdr:rowOff>
        </xdr:from>
        <xdr:to>
          <xdr:col>2</xdr:col>
          <xdr:colOff>1314450</xdr:colOff>
          <xdr:row>3</xdr:row>
          <xdr:rowOff>152400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15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19050</xdr:rowOff>
        </xdr:from>
        <xdr:to>
          <xdr:col>1</xdr:col>
          <xdr:colOff>438150</xdr:colOff>
          <xdr:row>2</xdr:row>
          <xdr:rowOff>123825</xdr:rowOff>
        </xdr:to>
        <xdr:sp macro="" textlink="">
          <xdr:nvSpPr>
            <xdr:cNvPr id="29700" name="Object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228600</xdr:colOff>
          <xdr:row>2</xdr:row>
          <xdr:rowOff>66675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2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0</xdr:row>
          <xdr:rowOff>85725</xdr:rowOff>
        </xdr:from>
        <xdr:to>
          <xdr:col>2</xdr:col>
          <xdr:colOff>571500</xdr:colOff>
          <xdr:row>3</xdr:row>
          <xdr:rowOff>47625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114300</xdr:rowOff>
        </xdr:from>
        <xdr:to>
          <xdr:col>1</xdr:col>
          <xdr:colOff>419100</xdr:colOff>
          <xdr:row>2</xdr:row>
          <xdr:rowOff>123825</xdr:rowOff>
        </xdr:to>
        <xdr:sp macro="" textlink="">
          <xdr:nvSpPr>
            <xdr:cNvPr id="23558" name="Object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4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1</xdr:col>
          <xdr:colOff>533400</xdr:colOff>
          <xdr:row>3</xdr:row>
          <xdr:rowOff>47625</xdr:rowOff>
        </xdr:to>
        <xdr:sp macro="" textlink="">
          <xdr:nvSpPr>
            <xdr:cNvPr id="36872" name="Object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5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57150</xdr:rowOff>
        </xdr:from>
        <xdr:to>
          <xdr:col>1</xdr:col>
          <xdr:colOff>552450</xdr:colOff>
          <xdr:row>3</xdr:row>
          <xdr:rowOff>28575</xdr:rowOff>
        </xdr:to>
        <xdr:sp macro="" textlink="">
          <xdr:nvSpPr>
            <xdr:cNvPr id="44038" name="Object 6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00000000-0008-0000-0600-00000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80107</xdr:rowOff>
        </xdr:from>
        <xdr:to>
          <xdr:col>2</xdr:col>
          <xdr:colOff>238125</xdr:colOff>
          <xdr:row>2</xdr:row>
          <xdr:rowOff>175357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7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95250</xdr:colOff>
          <xdr:row>2</xdr:row>
          <xdr:rowOff>95250</xdr:rowOff>
        </xdr:to>
        <xdr:sp macro="" textlink="">
          <xdr:nvSpPr>
            <xdr:cNvPr id="22533" name="Object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oleObject" Target="../embeddings/oleObject2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39997558519241921"/>
    <pageSetUpPr fitToPage="1"/>
  </sheetPr>
  <dimension ref="B2:M70"/>
  <sheetViews>
    <sheetView tabSelected="1" zoomScaleNormal="100" zoomScaleSheetLayoutView="69" workbookViewId="0">
      <selection activeCell="K4" sqref="K4"/>
    </sheetView>
  </sheetViews>
  <sheetFormatPr defaultColWidth="9.140625" defaultRowHeight="12.75" x14ac:dyDescent="0.2"/>
  <cols>
    <col min="1" max="1" width="9.140625" style="280"/>
    <col min="2" max="2" width="6.5703125" style="280" customWidth="1"/>
    <col min="3" max="3" width="32.140625" style="280" customWidth="1"/>
    <col min="4" max="4" width="11.42578125" style="280" customWidth="1"/>
    <col min="5" max="7" width="10.42578125" style="280" customWidth="1"/>
    <col min="8" max="8" width="11.5703125" style="280" customWidth="1"/>
    <col min="9" max="12" width="9.140625" style="280"/>
    <col min="13" max="13" width="9.140625" style="360"/>
    <col min="14" max="16384" width="9.140625" style="280"/>
  </cols>
  <sheetData>
    <row r="2" spans="2:13" x14ac:dyDescent="0.2">
      <c r="H2" s="604" t="s">
        <v>340</v>
      </c>
      <c r="I2" s="604"/>
      <c r="J2" s="604"/>
      <c r="K2" s="604"/>
    </row>
    <row r="4" spans="2:13" ht="15" x14ac:dyDescent="0.25">
      <c r="D4" s="605"/>
      <c r="E4" s="605"/>
    </row>
    <row r="5" spans="2:13" ht="9" customHeight="1" x14ac:dyDescent="0.2"/>
    <row r="7" spans="2:13" ht="15.75" x14ac:dyDescent="0.25">
      <c r="C7" s="606"/>
      <c r="D7" s="606"/>
      <c r="E7" s="606"/>
    </row>
    <row r="8" spans="2:13" ht="15.75" x14ac:dyDescent="0.25">
      <c r="C8" s="558"/>
      <c r="D8" s="558"/>
      <c r="E8" s="558"/>
    </row>
    <row r="9" spans="2:13" ht="15.75" x14ac:dyDescent="0.25">
      <c r="B9" s="555" t="s">
        <v>229</v>
      </c>
      <c r="C9" s="609" t="s">
        <v>344</v>
      </c>
      <c r="D9" s="609"/>
      <c r="E9" s="609"/>
      <c r="F9" s="609"/>
      <c r="G9" s="609"/>
      <c r="H9" s="609"/>
      <c r="I9" s="609"/>
      <c r="J9" s="609"/>
      <c r="K9" s="609"/>
      <c r="L9" s="609"/>
    </row>
    <row r="10" spans="2:13" x14ac:dyDescent="0.2">
      <c r="E10" s="360"/>
      <c r="F10" s="360"/>
      <c r="G10" s="360"/>
      <c r="H10" s="360"/>
      <c r="I10" s="360"/>
      <c r="J10" s="360"/>
      <c r="K10" s="360"/>
      <c r="L10" s="360"/>
    </row>
    <row r="11" spans="2:13" x14ac:dyDescent="0.2">
      <c r="C11" s="554"/>
      <c r="D11" s="556"/>
      <c r="E11" s="360"/>
      <c r="F11" s="360"/>
      <c r="G11" s="360"/>
      <c r="H11" s="360"/>
      <c r="I11" s="360"/>
      <c r="J11" s="360"/>
      <c r="K11" s="360"/>
      <c r="L11" s="360"/>
    </row>
    <row r="12" spans="2:13" x14ac:dyDescent="0.2">
      <c r="C12" s="608" t="s">
        <v>16</v>
      </c>
      <c r="D12" s="608"/>
      <c r="E12" s="370">
        <v>2014</v>
      </c>
      <c r="F12" s="370">
        <v>2015</v>
      </c>
      <c r="G12" s="370">
        <v>2016</v>
      </c>
      <c r="H12" s="370">
        <v>2017</v>
      </c>
      <c r="I12" s="370">
        <v>2018</v>
      </c>
      <c r="J12" s="370">
        <v>2019</v>
      </c>
      <c r="K12" s="370">
        <v>2020</v>
      </c>
      <c r="L12" s="370">
        <v>2021</v>
      </c>
      <c r="M12" s="370">
        <v>2022</v>
      </c>
    </row>
    <row r="13" spans="2:13" ht="14.25" customHeight="1" x14ac:dyDescent="0.2">
      <c r="C13" s="371"/>
      <c r="D13" s="371"/>
      <c r="E13" s="373"/>
    </row>
    <row r="14" spans="2:13" ht="42.75" customHeight="1" x14ac:dyDescent="0.2">
      <c r="C14" s="374" t="s">
        <v>182</v>
      </c>
      <c r="D14" s="375"/>
      <c r="E14" s="376">
        <f>SUM(E15:E17)</f>
        <v>43</v>
      </c>
      <c r="F14" s="376">
        <v>37</v>
      </c>
      <c r="G14" s="376">
        <f>SUM(G15:G17)</f>
        <v>38</v>
      </c>
      <c r="H14" s="376">
        <f>SUM(H15:H17)</f>
        <v>38</v>
      </c>
      <c r="I14" s="376">
        <f>SUM(I15:I17)</f>
        <v>37</v>
      </c>
      <c r="J14" s="376">
        <f t="shared" ref="J14:M14" si="0">SUM(J15:J17)</f>
        <v>38</v>
      </c>
      <c r="K14" s="376">
        <f t="shared" si="0"/>
        <v>42</v>
      </c>
      <c r="L14" s="376">
        <f t="shared" si="0"/>
        <v>41</v>
      </c>
      <c r="M14" s="376">
        <f t="shared" si="0"/>
        <v>41</v>
      </c>
    </row>
    <row r="15" spans="2:13" s="281" customFormat="1" ht="14.25" x14ac:dyDescent="0.2">
      <c r="C15" s="377" t="s">
        <v>183</v>
      </c>
      <c r="D15" s="378"/>
      <c r="E15" s="380">
        <v>25</v>
      </c>
      <c r="F15" s="281">
        <v>23</v>
      </c>
      <c r="G15" s="281">
        <v>20</v>
      </c>
      <c r="H15" s="281">
        <v>22</v>
      </c>
      <c r="I15" s="281">
        <v>21</v>
      </c>
      <c r="J15" s="281">
        <v>21</v>
      </c>
      <c r="K15" s="281">
        <v>22</v>
      </c>
      <c r="L15" s="281">
        <v>18</v>
      </c>
      <c r="M15" s="381">
        <v>18</v>
      </c>
    </row>
    <row r="16" spans="2:13" s="281" customFormat="1" ht="14.25" x14ac:dyDescent="0.2">
      <c r="C16" s="377" t="s">
        <v>184</v>
      </c>
      <c r="D16" s="378"/>
      <c r="E16" s="380">
        <v>11</v>
      </c>
      <c r="F16" s="281">
        <v>11</v>
      </c>
      <c r="G16" s="281">
        <v>11</v>
      </c>
      <c r="H16" s="281">
        <v>9</v>
      </c>
      <c r="I16" s="281">
        <v>9</v>
      </c>
      <c r="J16" s="281">
        <v>9</v>
      </c>
      <c r="K16" s="281">
        <v>10</v>
      </c>
      <c r="L16" s="281">
        <v>13</v>
      </c>
      <c r="M16" s="381">
        <v>13</v>
      </c>
    </row>
    <row r="17" spans="3:13" s="281" customFormat="1" ht="14.25" x14ac:dyDescent="0.2">
      <c r="C17" s="377" t="s">
        <v>185</v>
      </c>
      <c r="D17" s="378"/>
      <c r="E17" s="380">
        <v>7</v>
      </c>
      <c r="F17" s="281">
        <v>7</v>
      </c>
      <c r="G17" s="281">
        <v>7</v>
      </c>
      <c r="H17" s="281">
        <v>7</v>
      </c>
      <c r="I17" s="281">
        <v>7</v>
      </c>
      <c r="J17" s="281">
        <v>8</v>
      </c>
      <c r="K17" s="281">
        <v>10</v>
      </c>
      <c r="L17" s="281">
        <v>10</v>
      </c>
      <c r="M17" s="381">
        <v>10</v>
      </c>
    </row>
    <row r="18" spans="3:13" x14ac:dyDescent="0.2">
      <c r="C18" s="369"/>
      <c r="D18" s="369"/>
      <c r="E18" s="373"/>
    </row>
    <row r="19" spans="3:13" x14ac:dyDescent="0.2">
      <c r="C19" s="369"/>
      <c r="D19" s="369"/>
      <c r="E19" s="373"/>
    </row>
    <row r="20" spans="3:13" x14ac:dyDescent="0.2">
      <c r="C20" s="382" t="s">
        <v>145</v>
      </c>
      <c r="D20" s="383"/>
      <c r="E20" s="384">
        <f>SUM(E21:E23)</f>
        <v>1949</v>
      </c>
      <c r="F20" s="384">
        <f>SUM(F21:F23)</f>
        <v>1785</v>
      </c>
      <c r="G20" s="384">
        <f>SUM(G25:G26)</f>
        <v>1931</v>
      </c>
      <c r="H20" s="384">
        <f>SUM(H25:H26)</f>
        <v>2042</v>
      </c>
      <c r="I20" s="384">
        <f>SUM(I25:I26)</f>
        <v>1907</v>
      </c>
      <c r="J20" s="384">
        <f>SUM(J21:J23)</f>
        <v>1876</v>
      </c>
      <c r="K20" s="384">
        <f>SUM(K25:K26)</f>
        <v>1717</v>
      </c>
      <c r="L20" s="384">
        <f>SUM(L25:L26)</f>
        <v>1930</v>
      </c>
      <c r="M20" s="359">
        <f>SUM(M25:M26)</f>
        <v>1976</v>
      </c>
    </row>
    <row r="21" spans="3:13" s="281" customFormat="1" ht="14.25" x14ac:dyDescent="0.2">
      <c r="C21" s="377" t="s">
        <v>183</v>
      </c>
      <c r="D21" s="378"/>
      <c r="E21" s="564">
        <v>1183</v>
      </c>
      <c r="F21" s="385">
        <v>1132</v>
      </c>
      <c r="G21" s="385">
        <v>1138</v>
      </c>
      <c r="H21" s="385">
        <v>1357</v>
      </c>
      <c r="I21" s="385">
        <v>1286</v>
      </c>
      <c r="J21" s="385">
        <v>1155</v>
      </c>
      <c r="K21" s="385">
        <v>945</v>
      </c>
      <c r="L21" s="385">
        <v>1017</v>
      </c>
      <c r="M21" s="381">
        <v>1016</v>
      </c>
    </row>
    <row r="22" spans="3:13" s="281" customFormat="1" ht="14.25" x14ac:dyDescent="0.2">
      <c r="C22" s="377" t="s">
        <v>184</v>
      </c>
      <c r="D22" s="378"/>
      <c r="E22" s="564">
        <v>480</v>
      </c>
      <c r="F22" s="385">
        <v>359</v>
      </c>
      <c r="G22" s="385">
        <v>509</v>
      </c>
      <c r="H22" s="385">
        <v>422</v>
      </c>
      <c r="I22" s="385">
        <v>393</v>
      </c>
      <c r="J22" s="385">
        <v>470</v>
      </c>
      <c r="K22" s="385">
        <v>558</v>
      </c>
      <c r="L22" s="385">
        <v>668</v>
      </c>
      <c r="M22" s="381">
        <v>704</v>
      </c>
    </row>
    <row r="23" spans="3:13" s="281" customFormat="1" ht="14.25" x14ac:dyDescent="0.2">
      <c r="C23" s="377" t="s">
        <v>185</v>
      </c>
      <c r="D23" s="378"/>
      <c r="E23" s="564">
        <v>286</v>
      </c>
      <c r="F23" s="385">
        <v>294</v>
      </c>
      <c r="G23" s="385">
        <v>284</v>
      </c>
      <c r="H23" s="385">
        <v>263</v>
      </c>
      <c r="I23" s="385">
        <v>228</v>
      </c>
      <c r="J23" s="385">
        <v>251</v>
      </c>
      <c r="K23" s="385">
        <v>214</v>
      </c>
      <c r="L23" s="385">
        <v>245</v>
      </c>
      <c r="M23" s="381">
        <v>256</v>
      </c>
    </row>
    <row r="24" spans="3:13" s="281" customFormat="1" ht="14.25" x14ac:dyDescent="0.2">
      <c r="C24" s="377"/>
      <c r="D24" s="378"/>
      <c r="E24" s="564"/>
      <c r="F24" s="385"/>
      <c r="G24" s="385"/>
      <c r="H24" s="385"/>
      <c r="I24" s="385"/>
      <c r="J24" s="385"/>
      <c r="K24" s="385"/>
      <c r="L24" s="385"/>
      <c r="M24" s="381"/>
    </row>
    <row r="25" spans="3:13" x14ac:dyDescent="0.2">
      <c r="C25" s="386" t="s">
        <v>26</v>
      </c>
      <c r="D25" s="565"/>
      <c r="E25" s="564">
        <v>921</v>
      </c>
      <c r="F25" s="385">
        <v>855</v>
      </c>
      <c r="G25" s="385">
        <v>954</v>
      </c>
      <c r="H25" s="385">
        <v>1024</v>
      </c>
      <c r="I25" s="385">
        <v>955</v>
      </c>
      <c r="J25" s="385">
        <v>962</v>
      </c>
      <c r="K25" s="385">
        <v>891</v>
      </c>
      <c r="L25" s="385">
        <v>949</v>
      </c>
      <c r="M25" s="387">
        <v>951</v>
      </c>
    </row>
    <row r="26" spans="3:13" x14ac:dyDescent="0.2">
      <c r="C26" s="386" t="s">
        <v>25</v>
      </c>
      <c r="D26" s="565"/>
      <c r="E26" s="564">
        <v>1028</v>
      </c>
      <c r="F26" s="385">
        <v>930</v>
      </c>
      <c r="G26" s="385">
        <v>977</v>
      </c>
      <c r="H26" s="385">
        <v>1018</v>
      </c>
      <c r="I26" s="385">
        <v>952</v>
      </c>
      <c r="J26" s="385">
        <v>914</v>
      </c>
      <c r="K26" s="385">
        <v>826</v>
      </c>
      <c r="L26" s="385">
        <v>981</v>
      </c>
      <c r="M26" s="387">
        <v>1025</v>
      </c>
    </row>
    <row r="27" spans="3:13" x14ac:dyDescent="0.2">
      <c r="C27" s="369"/>
      <c r="D27" s="369"/>
      <c r="E27" s="564"/>
      <c r="F27" s="385"/>
      <c r="G27" s="385"/>
      <c r="H27" s="385"/>
      <c r="I27" s="385"/>
      <c r="J27" s="385"/>
      <c r="K27" s="385"/>
      <c r="L27" s="385"/>
    </row>
    <row r="28" spans="3:13" x14ac:dyDescent="0.2">
      <c r="C28" s="369"/>
      <c r="D28" s="369"/>
      <c r="E28" s="373"/>
    </row>
    <row r="29" spans="3:13" x14ac:dyDescent="0.2">
      <c r="C29" s="382" t="s">
        <v>149</v>
      </c>
      <c r="D29" s="388"/>
      <c r="E29" s="376">
        <f>SUM(E30:E32)</f>
        <v>251</v>
      </c>
      <c r="F29" s="376">
        <f>SUM(F30:F32)</f>
        <v>300</v>
      </c>
      <c r="G29" s="376">
        <f>SUM(G30,G31,G32)</f>
        <v>263</v>
      </c>
      <c r="H29" s="376">
        <f>SUM(H34:H35)</f>
        <v>324</v>
      </c>
      <c r="I29" s="376">
        <f>SUM(I30:I32)</f>
        <v>307</v>
      </c>
      <c r="J29" s="376">
        <f>SUM(J34:J35)</f>
        <v>290</v>
      </c>
      <c r="K29" s="376">
        <f>SUM(K30:K32)</f>
        <v>270</v>
      </c>
      <c r="L29" s="376">
        <f>SUM(L30:L32)</f>
        <v>332</v>
      </c>
      <c r="M29" s="389">
        <f>SUM(M30:M32)</f>
        <v>341</v>
      </c>
    </row>
    <row r="30" spans="3:13" s="281" customFormat="1" ht="14.25" x14ac:dyDescent="0.2">
      <c r="C30" s="377" t="s">
        <v>183</v>
      </c>
      <c r="D30" s="378"/>
      <c r="E30" s="380">
        <v>193</v>
      </c>
      <c r="F30" s="281">
        <v>214</v>
      </c>
      <c r="G30" s="281">
        <v>214</v>
      </c>
      <c r="H30" s="281">
        <v>278</v>
      </c>
      <c r="I30" s="281">
        <v>269</v>
      </c>
      <c r="J30" s="281">
        <v>250</v>
      </c>
      <c r="K30" s="281">
        <v>226</v>
      </c>
      <c r="L30" s="281">
        <v>270</v>
      </c>
      <c r="M30" s="381">
        <v>278</v>
      </c>
    </row>
    <row r="31" spans="3:13" s="281" customFormat="1" ht="14.25" x14ac:dyDescent="0.2">
      <c r="C31" s="377" t="s">
        <v>184</v>
      </c>
      <c r="D31" s="378"/>
      <c r="E31" s="380">
        <v>42</v>
      </c>
      <c r="F31" s="281">
        <v>69</v>
      </c>
      <c r="G31" s="281">
        <v>32</v>
      </c>
      <c r="H31" s="281">
        <v>28</v>
      </c>
      <c r="I31" s="281">
        <v>21</v>
      </c>
      <c r="J31" s="281">
        <v>20</v>
      </c>
      <c r="K31" s="281">
        <v>26</v>
      </c>
      <c r="L31" s="281">
        <v>42</v>
      </c>
      <c r="M31" s="381">
        <v>43</v>
      </c>
    </row>
    <row r="32" spans="3:13" s="281" customFormat="1" ht="14.25" x14ac:dyDescent="0.2">
      <c r="C32" s="377" t="s">
        <v>185</v>
      </c>
      <c r="D32" s="378"/>
      <c r="E32" s="380">
        <v>16</v>
      </c>
      <c r="F32" s="281">
        <v>17</v>
      </c>
      <c r="G32" s="281">
        <v>17</v>
      </c>
      <c r="H32" s="281">
        <v>17</v>
      </c>
      <c r="I32" s="281">
        <v>17</v>
      </c>
      <c r="J32" s="281">
        <v>20</v>
      </c>
      <c r="K32" s="281">
        <v>18</v>
      </c>
      <c r="L32" s="281">
        <v>20</v>
      </c>
      <c r="M32" s="381">
        <v>20</v>
      </c>
    </row>
    <row r="33" spans="3:13" s="281" customFormat="1" ht="14.25" x14ac:dyDescent="0.2">
      <c r="C33" s="377"/>
      <c r="D33" s="378"/>
      <c r="E33" s="380"/>
      <c r="M33" s="381"/>
    </row>
    <row r="34" spans="3:13" ht="14.25" hidden="1" x14ac:dyDescent="0.2">
      <c r="C34" s="386" t="s">
        <v>26</v>
      </c>
      <c r="D34" s="378"/>
      <c r="E34" s="380">
        <v>251</v>
      </c>
      <c r="F34" s="281">
        <v>246</v>
      </c>
      <c r="G34" s="281">
        <v>263</v>
      </c>
      <c r="H34" s="281">
        <f>SUM(H30:H32)</f>
        <v>323</v>
      </c>
      <c r="I34" s="281">
        <v>307</v>
      </c>
      <c r="J34" s="281">
        <v>289</v>
      </c>
      <c r="K34" s="281">
        <f>SUM(K30:K32)</f>
        <v>270</v>
      </c>
      <c r="L34" s="281">
        <v>332</v>
      </c>
      <c r="M34" s="360">
        <v>216</v>
      </c>
    </row>
    <row r="35" spans="3:13" ht="14.25" hidden="1" x14ac:dyDescent="0.2">
      <c r="C35" s="386" t="s">
        <v>25</v>
      </c>
      <c r="D35" s="378"/>
      <c r="E35" s="380">
        <v>0</v>
      </c>
      <c r="F35" s="281">
        <v>0</v>
      </c>
      <c r="G35" s="390">
        <v>0</v>
      </c>
      <c r="H35" s="390">
        <v>1</v>
      </c>
      <c r="I35" s="390">
        <v>0</v>
      </c>
      <c r="J35" s="390">
        <v>1</v>
      </c>
      <c r="K35" s="390">
        <v>0</v>
      </c>
      <c r="L35" s="390"/>
    </row>
    <row r="36" spans="3:13" x14ac:dyDescent="0.2">
      <c r="C36" s="391"/>
      <c r="D36" s="391"/>
      <c r="E36" s="373"/>
    </row>
    <row r="37" spans="3:13" x14ac:dyDescent="0.2">
      <c r="C37" s="557" t="s">
        <v>200</v>
      </c>
      <c r="D37" s="392"/>
      <c r="E37" s="370">
        <v>2014</v>
      </c>
      <c r="F37" s="370">
        <v>2015</v>
      </c>
      <c r="G37" s="370">
        <v>2016</v>
      </c>
      <c r="H37" s="370">
        <v>2017</v>
      </c>
      <c r="I37" s="370">
        <v>2018</v>
      </c>
      <c r="J37" s="370">
        <v>2019</v>
      </c>
      <c r="K37" s="370">
        <v>2020</v>
      </c>
      <c r="L37" s="370">
        <v>2021</v>
      </c>
      <c r="M37" s="370">
        <v>2022</v>
      </c>
    </row>
    <row r="38" spans="3:13" ht="14.25" customHeight="1" x14ac:dyDescent="0.2">
      <c r="C38" s="369"/>
      <c r="D38" s="556"/>
    </row>
    <row r="39" spans="3:13" ht="43.5" customHeight="1" x14ac:dyDescent="0.2">
      <c r="C39" s="374" t="s">
        <v>182</v>
      </c>
      <c r="D39" s="556"/>
      <c r="E39" s="360">
        <f>SUM(E40:E41)</f>
        <v>4</v>
      </c>
      <c r="F39" s="360">
        <f>SUM(F40:F41)</f>
        <v>4</v>
      </c>
      <c r="G39" s="360">
        <v>4</v>
      </c>
      <c r="H39" s="360">
        <f>SUM(H40:H41)</f>
        <v>4</v>
      </c>
      <c r="I39" s="360">
        <v>4</v>
      </c>
      <c r="J39" s="360"/>
      <c r="K39" s="360">
        <v>4</v>
      </c>
      <c r="L39" s="360">
        <v>4</v>
      </c>
      <c r="M39" s="360">
        <v>4</v>
      </c>
    </row>
    <row r="40" spans="3:13" x14ac:dyDescent="0.2">
      <c r="C40" s="377" t="s">
        <v>183</v>
      </c>
      <c r="D40" s="556"/>
      <c r="E40" s="372">
        <v>1</v>
      </c>
      <c r="F40" s="372">
        <v>1</v>
      </c>
      <c r="G40" s="372">
        <v>1</v>
      </c>
      <c r="H40" s="372">
        <v>1</v>
      </c>
      <c r="I40" s="372">
        <v>1</v>
      </c>
      <c r="J40" s="372"/>
      <c r="K40" s="372">
        <v>1</v>
      </c>
      <c r="L40" s="372">
        <v>1</v>
      </c>
      <c r="M40" s="372">
        <v>1</v>
      </c>
    </row>
    <row r="41" spans="3:13" s="281" customFormat="1" x14ac:dyDescent="0.2">
      <c r="C41" s="377" t="s">
        <v>185</v>
      </c>
      <c r="D41" s="393"/>
      <c r="E41" s="380">
        <v>3</v>
      </c>
      <c r="F41" s="281">
        <v>3</v>
      </c>
      <c r="G41" s="281">
        <v>3</v>
      </c>
      <c r="H41" s="281">
        <v>3</v>
      </c>
      <c r="I41" s="281">
        <v>3</v>
      </c>
      <c r="K41" s="281">
        <v>3</v>
      </c>
      <c r="L41" s="281">
        <v>3</v>
      </c>
      <c r="M41" s="281">
        <v>3</v>
      </c>
    </row>
    <row r="42" spans="3:13" s="281" customFormat="1" ht="14.25" x14ac:dyDescent="0.2">
      <c r="C42" s="377"/>
      <c r="D42" s="378"/>
      <c r="E42" s="380"/>
      <c r="M42" s="381"/>
    </row>
    <row r="43" spans="3:13" x14ac:dyDescent="0.2">
      <c r="C43" s="386"/>
      <c r="D43" s="369"/>
      <c r="E43" s="373"/>
    </row>
    <row r="44" spans="3:13" x14ac:dyDescent="0.2">
      <c r="C44" s="386"/>
      <c r="D44" s="388"/>
      <c r="E44" s="373"/>
    </row>
    <row r="45" spans="3:13" s="281" customFormat="1" ht="14.25" x14ac:dyDescent="0.2">
      <c r="C45" s="382" t="s">
        <v>145</v>
      </c>
      <c r="D45" s="378"/>
      <c r="E45" s="394">
        <f>SUM(E49,E50)</f>
        <v>69</v>
      </c>
      <c r="F45" s="394">
        <f>SUM(F49,F50)</f>
        <v>69</v>
      </c>
      <c r="G45" s="394">
        <f>SUM(G49:G50)</f>
        <v>63</v>
      </c>
      <c r="H45" s="394">
        <f>SUM(H49:H50)</f>
        <v>64</v>
      </c>
      <c r="I45" s="394">
        <f>SUM(I49,I50)</f>
        <v>59</v>
      </c>
      <c r="J45" s="394">
        <f>SUM(J49,J50)</f>
        <v>53</v>
      </c>
      <c r="K45" s="394">
        <f>SUM(K49:K50)</f>
        <v>63</v>
      </c>
      <c r="L45" s="394">
        <f>SUM(L49,L50)</f>
        <v>75</v>
      </c>
      <c r="M45" s="394">
        <f>SUM(M49,M50)</f>
        <v>80</v>
      </c>
    </row>
    <row r="46" spans="3:13" s="281" customFormat="1" ht="14.25" x14ac:dyDescent="0.2">
      <c r="C46" s="377" t="s">
        <v>183</v>
      </c>
      <c r="D46" s="378"/>
      <c r="E46" s="380">
        <v>43</v>
      </c>
      <c r="F46" s="281">
        <v>48</v>
      </c>
      <c r="G46" s="281">
        <v>45</v>
      </c>
      <c r="H46" s="281">
        <v>52</v>
      </c>
      <c r="I46" s="281">
        <v>37</v>
      </c>
      <c r="J46" s="281">
        <v>38</v>
      </c>
      <c r="K46" s="281">
        <v>35</v>
      </c>
      <c r="L46" s="281">
        <v>34</v>
      </c>
      <c r="M46" s="381">
        <v>33</v>
      </c>
    </row>
    <row r="47" spans="3:13" ht="14.25" x14ac:dyDescent="0.2">
      <c r="C47" s="377" t="s">
        <v>185</v>
      </c>
      <c r="D47" s="378"/>
      <c r="E47" s="379">
        <v>26</v>
      </c>
      <c r="F47" s="379">
        <v>21</v>
      </c>
      <c r="G47" s="379">
        <v>18</v>
      </c>
      <c r="H47" s="379">
        <v>12</v>
      </c>
      <c r="I47" s="379">
        <v>22</v>
      </c>
      <c r="J47" s="379">
        <v>15</v>
      </c>
      <c r="K47" s="379">
        <v>28</v>
      </c>
      <c r="L47" s="379">
        <v>41</v>
      </c>
      <c r="M47" s="360">
        <v>47</v>
      </c>
    </row>
    <row r="48" spans="3:13" ht="14.25" x14ac:dyDescent="0.2">
      <c r="C48" s="377"/>
      <c r="D48" s="378"/>
      <c r="E48" s="379"/>
      <c r="F48" s="379"/>
      <c r="G48" s="379"/>
      <c r="H48" s="379"/>
      <c r="I48" s="379"/>
      <c r="J48" s="379"/>
      <c r="K48" s="379"/>
      <c r="L48" s="379"/>
    </row>
    <row r="49" spans="2:13" ht="14.25" x14ac:dyDescent="0.2">
      <c r="C49" s="386" t="s">
        <v>26</v>
      </c>
      <c r="D49" s="378"/>
      <c r="E49" s="372">
        <v>23</v>
      </c>
      <c r="F49" s="372">
        <v>25</v>
      </c>
      <c r="G49" s="372">
        <v>30</v>
      </c>
      <c r="H49" s="372">
        <v>29</v>
      </c>
      <c r="I49" s="372">
        <v>24</v>
      </c>
      <c r="J49" s="372">
        <v>24</v>
      </c>
      <c r="K49" s="372">
        <v>34</v>
      </c>
      <c r="L49" s="372">
        <v>37</v>
      </c>
      <c r="M49" s="360">
        <v>36</v>
      </c>
    </row>
    <row r="50" spans="2:13" x14ac:dyDescent="0.2">
      <c r="C50" s="386" t="s">
        <v>25</v>
      </c>
      <c r="D50" s="369"/>
      <c r="E50" s="380">
        <v>46</v>
      </c>
      <c r="F50" s="372">
        <v>44</v>
      </c>
      <c r="G50" s="372">
        <v>33</v>
      </c>
      <c r="H50" s="372">
        <v>35</v>
      </c>
      <c r="I50" s="372">
        <v>35</v>
      </c>
      <c r="J50" s="372">
        <v>29</v>
      </c>
      <c r="K50" s="372">
        <v>29</v>
      </c>
      <c r="L50" s="372">
        <v>38</v>
      </c>
      <c r="M50" s="360">
        <v>44</v>
      </c>
    </row>
    <row r="51" spans="2:13" x14ac:dyDescent="0.2">
      <c r="C51" s="386"/>
      <c r="D51" s="369"/>
      <c r="E51" s="373"/>
    </row>
    <row r="52" spans="2:13" x14ac:dyDescent="0.2">
      <c r="C52" s="386"/>
      <c r="D52" s="388"/>
      <c r="E52" s="373"/>
    </row>
    <row r="53" spans="2:13" s="281" customFormat="1" ht="14.25" x14ac:dyDescent="0.2">
      <c r="C53" s="386"/>
      <c r="D53" s="378"/>
      <c r="E53" s="380"/>
      <c r="M53" s="381"/>
    </row>
    <row r="54" spans="2:13" s="281" customFormat="1" ht="14.25" x14ac:dyDescent="0.2">
      <c r="C54" s="382" t="s">
        <v>149</v>
      </c>
      <c r="D54" s="378"/>
      <c r="E54" s="380"/>
      <c r="M54" s="381"/>
    </row>
    <row r="55" spans="2:13" ht="14.25" x14ac:dyDescent="0.2">
      <c r="C55" s="377" t="s">
        <v>183</v>
      </c>
      <c r="D55" s="378"/>
      <c r="E55" s="372">
        <v>8</v>
      </c>
      <c r="F55" s="372">
        <v>8</v>
      </c>
      <c r="G55" s="372">
        <v>9</v>
      </c>
      <c r="H55" s="372">
        <v>9</v>
      </c>
      <c r="I55" s="372">
        <v>12</v>
      </c>
      <c r="J55" s="372">
        <v>17</v>
      </c>
      <c r="K55" s="372">
        <v>17</v>
      </c>
      <c r="L55" s="372">
        <v>14</v>
      </c>
      <c r="M55" s="360">
        <v>14</v>
      </c>
    </row>
    <row r="56" spans="2:13" ht="14.25" x14ac:dyDescent="0.2">
      <c r="C56" s="377" t="s">
        <v>185</v>
      </c>
      <c r="D56" s="378"/>
      <c r="E56" s="372">
        <v>3</v>
      </c>
      <c r="F56" s="372">
        <v>3</v>
      </c>
      <c r="G56" s="372">
        <v>3</v>
      </c>
      <c r="H56" s="372">
        <v>2</v>
      </c>
      <c r="I56" s="372">
        <v>2</v>
      </c>
      <c r="J56" s="372">
        <v>2</v>
      </c>
      <c r="K56" s="372">
        <v>3</v>
      </c>
      <c r="L56" s="372">
        <v>2</v>
      </c>
      <c r="M56" s="360">
        <v>2</v>
      </c>
    </row>
    <row r="57" spans="2:13" ht="14.25" x14ac:dyDescent="0.2">
      <c r="C57" s="377"/>
      <c r="D57" s="378"/>
      <c r="E57" s="372"/>
      <c r="F57" s="372"/>
      <c r="G57" s="372"/>
      <c r="H57" s="372"/>
      <c r="I57" s="372"/>
      <c r="J57" s="372"/>
      <c r="K57" s="372"/>
      <c r="L57" s="372"/>
    </row>
    <row r="58" spans="2:13" x14ac:dyDescent="0.2">
      <c r="B58" s="373"/>
      <c r="C58" s="386" t="s">
        <v>26</v>
      </c>
      <c r="D58" s="369"/>
      <c r="E58" s="372">
        <v>11</v>
      </c>
      <c r="F58" s="372">
        <v>11</v>
      </c>
      <c r="G58" s="372">
        <v>11</v>
      </c>
      <c r="H58" s="372">
        <v>11</v>
      </c>
      <c r="I58" s="372">
        <v>14</v>
      </c>
      <c r="J58" s="372">
        <v>19</v>
      </c>
      <c r="K58" s="372">
        <v>20</v>
      </c>
      <c r="L58" s="372">
        <v>16</v>
      </c>
      <c r="M58" s="360">
        <v>16</v>
      </c>
    </row>
    <row r="59" spans="2:13" x14ac:dyDescent="0.2">
      <c r="B59" s="395"/>
      <c r="C59" s="396" t="s">
        <v>25</v>
      </c>
      <c r="D59" s="397"/>
      <c r="E59" s="395">
        <v>0</v>
      </c>
      <c r="F59" s="398">
        <v>0</v>
      </c>
      <c r="G59" s="398">
        <v>0</v>
      </c>
      <c r="H59" s="398">
        <v>0</v>
      </c>
      <c r="I59" s="398">
        <v>0</v>
      </c>
      <c r="J59" s="398">
        <v>0</v>
      </c>
      <c r="K59" s="398">
        <v>0</v>
      </c>
      <c r="L59" s="398">
        <v>0</v>
      </c>
      <c r="M59" s="398">
        <v>0</v>
      </c>
    </row>
    <row r="60" spans="2:13" x14ac:dyDescent="0.2">
      <c r="B60" s="373"/>
      <c r="C60" s="399"/>
      <c r="D60" s="369"/>
      <c r="E60" s="373"/>
    </row>
    <row r="61" spans="2:13" x14ac:dyDescent="0.2">
      <c r="B61" s="373"/>
      <c r="C61" s="400" t="s">
        <v>119</v>
      </c>
      <c r="D61" s="373"/>
    </row>
    <row r="62" spans="2:13" ht="48.75" customHeight="1" x14ac:dyDescent="0.2">
      <c r="B62" s="401">
        <v>1</v>
      </c>
      <c r="C62" s="607" t="s">
        <v>186</v>
      </c>
      <c r="D62" s="607"/>
    </row>
    <row r="63" spans="2:13" ht="14.25" x14ac:dyDescent="0.2">
      <c r="B63" s="402"/>
      <c r="C63" s="373"/>
      <c r="D63" s="373"/>
    </row>
    <row r="64" spans="2:13" ht="14.25" x14ac:dyDescent="0.2">
      <c r="B64" s="402"/>
      <c r="C64" s="399" t="s">
        <v>283</v>
      </c>
      <c r="D64" s="373"/>
    </row>
    <row r="65" spans="2:5" ht="14.25" x14ac:dyDescent="0.2">
      <c r="B65" s="403"/>
    </row>
    <row r="66" spans="2:5" x14ac:dyDescent="0.2">
      <c r="C66" s="404"/>
    </row>
    <row r="67" spans="2:5" x14ac:dyDescent="0.2">
      <c r="C67" s="404"/>
    </row>
    <row r="68" spans="2:5" x14ac:dyDescent="0.2">
      <c r="B68" s="556"/>
      <c r="C68" s="556"/>
    </row>
    <row r="69" spans="2:5" ht="9" customHeight="1" x14ac:dyDescent="0.2"/>
    <row r="70" spans="2:5" x14ac:dyDescent="0.2">
      <c r="B70" s="556"/>
      <c r="C70" s="556"/>
      <c r="D70" s="556"/>
      <c r="E70" s="556"/>
    </row>
  </sheetData>
  <mergeCells count="6">
    <mergeCell ref="H2:K2"/>
    <mergeCell ref="D4:E4"/>
    <mergeCell ref="C7:E7"/>
    <mergeCell ref="C62:D62"/>
    <mergeCell ref="C12:D12"/>
    <mergeCell ref="C9:L9"/>
  </mergeCells>
  <phoneticPr fontId="0" type="noConversion"/>
  <pageMargins left="0.98425196850393704" right="0.98425196850393704" top="0.98425196850393704" bottom="0.98425196850393704" header="0.51181102362204722" footer="0.51181102362204722"/>
  <pageSetup scale="57" orientation="portrait" r:id="rId1"/>
  <headerFooter alignWithMargins="0"/>
  <ignoredErrors>
    <ignoredError sqref="J20 I29:J29 K45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150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9525</xdr:rowOff>
              </from>
              <to>
                <xdr:col>1</xdr:col>
                <xdr:colOff>104775</xdr:colOff>
                <xdr:row>0</xdr:row>
                <xdr:rowOff>57150</xdr:rowOff>
              </to>
            </anchor>
          </objectPr>
        </oleObject>
      </mc:Choice>
      <mc:Fallback>
        <oleObject progId="MSPhotoEd.3" shapeId="21505" r:id="rId4"/>
      </mc:Fallback>
    </mc:AlternateContent>
    <mc:AlternateContent xmlns:mc="http://schemas.openxmlformats.org/markup-compatibility/2006">
      <mc:Choice Requires="x14">
        <oleObject progId="MSPhotoEd.3" shapeId="21506" r:id="rId6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9525</xdr:rowOff>
              </from>
              <to>
                <xdr:col>1</xdr:col>
                <xdr:colOff>104775</xdr:colOff>
                <xdr:row>0</xdr:row>
                <xdr:rowOff>57150</xdr:rowOff>
              </to>
            </anchor>
          </objectPr>
        </oleObject>
      </mc:Choice>
      <mc:Fallback>
        <oleObject progId="MSPhotoEd.3" shapeId="21506" r:id="rId6"/>
      </mc:Fallback>
    </mc:AlternateContent>
    <mc:AlternateContent xmlns:mc="http://schemas.openxmlformats.org/markup-compatibility/2006">
      <mc:Choice Requires="x14">
        <oleObject progId="MSPhotoEd.3" shapeId="21507" r:id="rId7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9525</xdr:rowOff>
              </from>
              <to>
                <xdr:col>1</xdr:col>
                <xdr:colOff>104775</xdr:colOff>
                <xdr:row>0</xdr:row>
                <xdr:rowOff>57150</xdr:rowOff>
              </to>
            </anchor>
          </objectPr>
        </oleObject>
      </mc:Choice>
      <mc:Fallback>
        <oleObject progId="MSPhotoEd.3" shapeId="21507" r:id="rId7"/>
      </mc:Fallback>
    </mc:AlternateContent>
    <mc:AlternateContent xmlns:mc="http://schemas.openxmlformats.org/markup-compatibility/2006">
      <mc:Choice Requires="x14">
        <oleObject progId="MSPhotoEd.3" shapeId="21508" r:id="rId8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1</xdr:col>
                <xdr:colOff>247650</xdr:colOff>
                <xdr:row>2</xdr:row>
                <xdr:rowOff>114300</xdr:rowOff>
              </to>
            </anchor>
          </objectPr>
        </oleObject>
      </mc:Choice>
      <mc:Fallback>
        <oleObject progId="MSPhotoEd.3" shapeId="21508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H66"/>
  <sheetViews>
    <sheetView workbookViewId="0">
      <selection activeCell="E16" sqref="E16"/>
    </sheetView>
  </sheetViews>
  <sheetFormatPr defaultRowHeight="12.75" x14ac:dyDescent="0.2"/>
  <cols>
    <col min="1" max="1" width="6.140625" customWidth="1"/>
    <col min="2" max="2" width="13.140625" customWidth="1"/>
    <col min="3" max="3" width="21.28515625" customWidth="1"/>
    <col min="4" max="4" width="0.7109375" hidden="1" customWidth="1"/>
    <col min="5" max="5" width="22.140625" customWidth="1"/>
    <col min="6" max="6" width="4.28515625" customWidth="1"/>
    <col min="7" max="7" width="15.28515625" customWidth="1"/>
    <col min="8" max="8" width="11.28515625" customWidth="1"/>
  </cols>
  <sheetData>
    <row r="1" spans="1:8" ht="15.75" x14ac:dyDescent="0.25">
      <c r="A1" s="1" t="e">
        <f>'3.03'!C10+0.01</f>
        <v>#VALUE!</v>
      </c>
      <c r="B1" s="13" t="s">
        <v>20</v>
      </c>
      <c r="C1" s="11"/>
      <c r="D1" s="11"/>
      <c r="E1" s="11"/>
      <c r="F1" s="11"/>
      <c r="G1" s="11"/>
      <c r="H1" s="11"/>
    </row>
    <row r="4" spans="1:8" ht="25.5" customHeight="1" x14ac:dyDescent="0.2">
      <c r="C4" s="30" t="s">
        <v>21</v>
      </c>
      <c r="D4" s="30"/>
      <c r="E4" s="30" t="s">
        <v>22</v>
      </c>
      <c r="F4" s="30"/>
      <c r="G4" s="30" t="s">
        <v>23</v>
      </c>
      <c r="H4" s="27" t="s">
        <v>24</v>
      </c>
    </row>
    <row r="6" spans="1:8" x14ac:dyDescent="0.2">
      <c r="B6" s="26" t="s">
        <v>17</v>
      </c>
    </row>
    <row r="8" spans="1:8" x14ac:dyDescent="0.2">
      <c r="B8" s="7">
        <v>1990</v>
      </c>
    </row>
    <row r="9" spans="1:8" x14ac:dyDescent="0.2">
      <c r="B9" s="6" t="s">
        <v>25</v>
      </c>
    </row>
    <row r="10" spans="1:8" x14ac:dyDescent="0.2">
      <c r="B10" s="6" t="s">
        <v>26</v>
      </c>
    </row>
    <row r="11" spans="1:8" x14ac:dyDescent="0.2">
      <c r="B11" s="7">
        <v>1991</v>
      </c>
    </row>
    <row r="12" spans="1:8" x14ac:dyDescent="0.2">
      <c r="B12" s="6" t="s">
        <v>25</v>
      </c>
    </row>
    <row r="13" spans="1:8" x14ac:dyDescent="0.2">
      <c r="B13" s="6" t="s">
        <v>26</v>
      </c>
    </row>
    <row r="14" spans="1:8" x14ac:dyDescent="0.2">
      <c r="B14" s="7">
        <v>1992</v>
      </c>
    </row>
    <row r="15" spans="1:8" x14ac:dyDescent="0.2">
      <c r="B15" s="6" t="s">
        <v>25</v>
      </c>
    </row>
    <row r="16" spans="1:8" x14ac:dyDescent="0.2">
      <c r="B16" s="6" t="s">
        <v>26</v>
      </c>
    </row>
    <row r="17" spans="2:8" x14ac:dyDescent="0.2">
      <c r="B17" s="10">
        <v>1993</v>
      </c>
    </row>
    <row r="18" spans="2:8" x14ac:dyDescent="0.2">
      <c r="B18" s="6" t="s">
        <v>25</v>
      </c>
    </row>
    <row r="19" spans="2:8" x14ac:dyDescent="0.2">
      <c r="B19" s="6" t="s">
        <v>26</v>
      </c>
    </row>
    <row r="20" spans="2:8" x14ac:dyDescent="0.2">
      <c r="B20" s="10">
        <v>1994</v>
      </c>
    </row>
    <row r="21" spans="2:8" x14ac:dyDescent="0.2">
      <c r="B21" s="6" t="s">
        <v>25</v>
      </c>
    </row>
    <row r="22" spans="2:8" x14ac:dyDescent="0.2">
      <c r="B22" s="6" t="s">
        <v>26</v>
      </c>
    </row>
    <row r="23" spans="2:8" x14ac:dyDescent="0.2">
      <c r="B23" s="10">
        <v>1995</v>
      </c>
    </row>
    <row r="24" spans="2:8" x14ac:dyDescent="0.2">
      <c r="B24" s="6" t="s">
        <v>25</v>
      </c>
    </row>
    <row r="25" spans="2:8" x14ac:dyDescent="0.2">
      <c r="B25" s="6" t="s">
        <v>26</v>
      </c>
    </row>
    <row r="26" spans="2:8" x14ac:dyDescent="0.2">
      <c r="B26" s="10">
        <v>1996</v>
      </c>
      <c r="G26">
        <v>45</v>
      </c>
    </row>
    <row r="27" spans="2:8" x14ac:dyDescent="0.2">
      <c r="B27" s="6" t="s">
        <v>25</v>
      </c>
    </row>
    <row r="28" spans="2:8" x14ac:dyDescent="0.2">
      <c r="B28" s="6" t="s">
        <v>26</v>
      </c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19"/>
      <c r="C30" s="19"/>
      <c r="D30" s="19"/>
      <c r="E30" s="19"/>
      <c r="F30" s="19"/>
      <c r="G30" s="19"/>
    </row>
    <row r="31" spans="2:8" x14ac:dyDescent="0.2">
      <c r="B31" s="7" t="s">
        <v>27</v>
      </c>
    </row>
    <row r="32" spans="2:8" x14ac:dyDescent="0.2">
      <c r="B32" s="18"/>
    </row>
    <row r="33" spans="2:2" x14ac:dyDescent="0.2">
      <c r="B33" s="7">
        <v>1990</v>
      </c>
    </row>
    <row r="34" spans="2:2" hidden="1" x14ac:dyDescent="0.2">
      <c r="B34" s="6" t="s">
        <v>7</v>
      </c>
    </row>
    <row r="35" spans="2:2" hidden="1" x14ac:dyDescent="0.2">
      <c r="B35" s="6" t="s">
        <v>8</v>
      </c>
    </row>
    <row r="36" spans="2:2" x14ac:dyDescent="0.2">
      <c r="B36" s="7">
        <v>1991</v>
      </c>
    </row>
    <row r="37" spans="2:2" hidden="1" x14ac:dyDescent="0.2">
      <c r="B37" s="6" t="s">
        <v>7</v>
      </c>
    </row>
    <row r="38" spans="2:2" hidden="1" x14ac:dyDescent="0.2">
      <c r="B38" s="6" t="s">
        <v>8</v>
      </c>
    </row>
    <row r="39" spans="2:2" ht="12.75" customHeight="1" x14ac:dyDescent="0.2">
      <c r="B39" s="7">
        <v>1992</v>
      </c>
    </row>
    <row r="40" spans="2:2" hidden="1" x14ac:dyDescent="0.2">
      <c r="B40" s="6" t="s">
        <v>7</v>
      </c>
    </row>
    <row r="41" spans="2:2" ht="12.75" hidden="1" customHeight="1" x14ac:dyDescent="0.2">
      <c r="B41" s="6" t="s">
        <v>8</v>
      </c>
    </row>
    <row r="42" spans="2:2" ht="13.5" customHeight="1" x14ac:dyDescent="0.2">
      <c r="B42" s="7">
        <v>1993</v>
      </c>
    </row>
    <row r="43" spans="2:2" hidden="1" x14ac:dyDescent="0.2">
      <c r="B43" s="6" t="s">
        <v>7</v>
      </c>
    </row>
    <row r="44" spans="2:2" hidden="1" x14ac:dyDescent="0.2">
      <c r="B44" s="6" t="s">
        <v>8</v>
      </c>
    </row>
    <row r="45" spans="2:2" x14ac:dyDescent="0.2">
      <c r="B45" s="7">
        <v>1994</v>
      </c>
    </row>
    <row r="46" spans="2:2" hidden="1" x14ac:dyDescent="0.2">
      <c r="B46" s="6" t="s">
        <v>7</v>
      </c>
    </row>
    <row r="47" spans="2:2" hidden="1" x14ac:dyDescent="0.2">
      <c r="B47" s="6" t="s">
        <v>8</v>
      </c>
    </row>
    <row r="48" spans="2:2" x14ac:dyDescent="0.2">
      <c r="B48" s="7">
        <v>1995</v>
      </c>
    </row>
    <row r="49" spans="2:2" hidden="1" x14ac:dyDescent="0.2">
      <c r="B49" s="6" t="s">
        <v>7</v>
      </c>
    </row>
    <row r="50" spans="2:2" hidden="1" x14ac:dyDescent="0.2">
      <c r="B50" s="6" t="s">
        <v>8</v>
      </c>
    </row>
    <row r="51" spans="2:2" x14ac:dyDescent="0.2">
      <c r="B51" s="7">
        <v>1996</v>
      </c>
    </row>
    <row r="52" spans="2:2" hidden="1" x14ac:dyDescent="0.2">
      <c r="B52" s="6" t="s">
        <v>7</v>
      </c>
    </row>
    <row r="53" spans="2:2" hidden="1" x14ac:dyDescent="0.2">
      <c r="B53" s="6" t="s">
        <v>8</v>
      </c>
    </row>
    <row r="55" spans="2:2" x14ac:dyDescent="0.2">
      <c r="B55" s="7" t="s">
        <v>28</v>
      </c>
    </row>
    <row r="57" spans="2:2" x14ac:dyDescent="0.2">
      <c r="B57" s="7" t="s">
        <v>29</v>
      </c>
    </row>
    <row r="58" spans="2:2" x14ac:dyDescent="0.2">
      <c r="B58" s="7" t="s">
        <v>30</v>
      </c>
    </row>
    <row r="60" spans="2:2" hidden="1" x14ac:dyDescent="0.2">
      <c r="B60" s="7">
        <v>1990</v>
      </c>
    </row>
    <row r="61" spans="2:2" hidden="1" x14ac:dyDescent="0.2">
      <c r="B61" s="7">
        <v>1991</v>
      </c>
    </row>
    <row r="62" spans="2:2" hidden="1" x14ac:dyDescent="0.2">
      <c r="B62" s="7">
        <v>1992</v>
      </c>
    </row>
    <row r="63" spans="2:2" hidden="1" x14ac:dyDescent="0.2">
      <c r="B63" s="7">
        <v>1993</v>
      </c>
    </row>
    <row r="64" spans="2:2" x14ac:dyDescent="0.2">
      <c r="B64" s="7">
        <v>1994</v>
      </c>
    </row>
    <row r="65" spans="2:2" x14ac:dyDescent="0.2">
      <c r="B65" s="7">
        <v>1995</v>
      </c>
    </row>
    <row r="66" spans="2:2" x14ac:dyDescent="0.2">
      <c r="B66" s="7">
        <v>1996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G30"/>
  <sheetViews>
    <sheetView workbookViewId="0">
      <selection activeCell="E14" sqref="E14"/>
    </sheetView>
  </sheetViews>
  <sheetFormatPr defaultRowHeight="12.75" x14ac:dyDescent="0.2"/>
  <cols>
    <col min="1" max="1" width="26.85546875" customWidth="1"/>
    <col min="2" max="2" width="9.42578125" customWidth="1"/>
  </cols>
  <sheetData>
    <row r="1" spans="1:7" ht="15.75" x14ac:dyDescent="0.25">
      <c r="A1" s="31" t="s">
        <v>31</v>
      </c>
      <c r="B1" s="31" t="s">
        <v>32</v>
      </c>
    </row>
    <row r="4" spans="1:7" x14ac:dyDescent="0.2">
      <c r="C4" s="9">
        <v>1996</v>
      </c>
      <c r="D4" s="9">
        <v>1997</v>
      </c>
      <c r="E4" s="9">
        <v>1998</v>
      </c>
      <c r="F4" s="9">
        <v>1999</v>
      </c>
      <c r="G4" s="9"/>
    </row>
    <row r="5" spans="1:7" x14ac:dyDescent="0.2">
      <c r="C5" s="19"/>
      <c r="D5" s="19"/>
      <c r="E5" s="19"/>
      <c r="F5" s="19"/>
      <c r="G5" s="19"/>
    </row>
    <row r="6" spans="1:7" x14ac:dyDescent="0.2">
      <c r="A6" s="7" t="s">
        <v>17</v>
      </c>
      <c r="C6" s="19"/>
      <c r="D6" s="19"/>
      <c r="E6" s="19"/>
      <c r="F6" s="19"/>
      <c r="G6" s="19"/>
    </row>
    <row r="7" spans="1:7" x14ac:dyDescent="0.2">
      <c r="A7" s="18" t="s">
        <v>33</v>
      </c>
      <c r="C7" s="19">
        <v>40</v>
      </c>
      <c r="D7" s="19"/>
      <c r="E7" s="19"/>
      <c r="F7" s="19"/>
      <c r="G7" s="19"/>
    </row>
    <row r="8" spans="1:7" x14ac:dyDescent="0.2">
      <c r="A8" s="18" t="s">
        <v>8</v>
      </c>
      <c r="C8" s="19">
        <v>117</v>
      </c>
      <c r="D8" s="19"/>
      <c r="E8" s="19"/>
      <c r="F8" s="19"/>
      <c r="G8" s="19"/>
    </row>
    <row r="9" spans="1:7" x14ac:dyDescent="0.2">
      <c r="C9" s="19"/>
      <c r="D9" s="19"/>
      <c r="E9" s="19"/>
      <c r="F9" s="19"/>
      <c r="G9" s="19"/>
    </row>
    <row r="10" spans="1:7" x14ac:dyDescent="0.2">
      <c r="C10" s="19"/>
      <c r="D10" s="19"/>
      <c r="E10" s="19"/>
      <c r="F10" s="19"/>
      <c r="G10" s="19"/>
    </row>
    <row r="12" spans="1:7" x14ac:dyDescent="0.2">
      <c r="A12" s="7" t="s">
        <v>34</v>
      </c>
      <c r="C12">
        <v>69</v>
      </c>
    </row>
    <row r="14" spans="1:7" x14ac:dyDescent="0.2">
      <c r="A14" s="7" t="s">
        <v>35</v>
      </c>
      <c r="C14">
        <v>65</v>
      </c>
    </row>
    <row r="16" spans="1:7" x14ac:dyDescent="0.2">
      <c r="A16" s="7" t="s">
        <v>36</v>
      </c>
      <c r="C16">
        <v>4</v>
      </c>
    </row>
    <row r="19" spans="1:3" x14ac:dyDescent="0.2">
      <c r="A19" s="7" t="s">
        <v>37</v>
      </c>
      <c r="C19">
        <v>77</v>
      </c>
    </row>
    <row r="21" spans="1:3" x14ac:dyDescent="0.2">
      <c r="A21" s="7" t="s">
        <v>35</v>
      </c>
      <c r="C21">
        <v>68</v>
      </c>
    </row>
    <row r="23" spans="1:3" x14ac:dyDescent="0.2">
      <c r="A23" s="7" t="s">
        <v>38</v>
      </c>
      <c r="C23">
        <v>9</v>
      </c>
    </row>
    <row r="24" spans="1:3" x14ac:dyDescent="0.2">
      <c r="A24" s="7"/>
    </row>
    <row r="26" spans="1:3" x14ac:dyDescent="0.2">
      <c r="A26" s="7" t="s">
        <v>39</v>
      </c>
      <c r="C26">
        <v>20</v>
      </c>
    </row>
    <row r="28" spans="1:3" x14ac:dyDescent="0.2">
      <c r="A28" s="7" t="s">
        <v>40</v>
      </c>
      <c r="C28">
        <v>13</v>
      </c>
    </row>
    <row r="30" spans="1:3" x14ac:dyDescent="0.2">
      <c r="A30" s="7" t="s">
        <v>41</v>
      </c>
      <c r="C30">
        <v>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FFFF00"/>
    <pageSetUpPr fitToPage="1"/>
  </sheetPr>
  <dimension ref="B4:AI85"/>
  <sheetViews>
    <sheetView view="pageBreakPreview" zoomScaleNormal="75" zoomScaleSheetLayoutView="75" workbookViewId="0">
      <pane xSplit="6" ySplit="12" topLeftCell="G16" activePane="bottomRight" state="frozen"/>
      <selection activeCell="P12" sqref="P12"/>
      <selection pane="topRight" activeCell="P12" sqref="P12"/>
      <selection pane="bottomLeft" activeCell="P12" sqref="P12"/>
      <selection pane="bottomRight" activeCell="C41" sqref="C41"/>
    </sheetView>
  </sheetViews>
  <sheetFormatPr defaultColWidth="9.140625" defaultRowHeight="12.75" outlineLevelRow="1" x14ac:dyDescent="0.2"/>
  <cols>
    <col min="1" max="1" width="4.28515625" style="117" customWidth="1"/>
    <col min="2" max="2" width="6.42578125" style="117" customWidth="1"/>
    <col min="3" max="3" width="33.28515625" style="117" customWidth="1"/>
    <col min="4" max="5" width="13" style="117" hidden="1" customWidth="1"/>
    <col min="6" max="6" width="11" style="117" hidden="1" customWidth="1"/>
    <col min="7" max="7" width="9.5703125" style="117" hidden="1" customWidth="1"/>
    <col min="8" max="8" width="0" style="117" hidden="1" customWidth="1"/>
    <col min="9" max="9" width="9.28515625" style="117" hidden="1" customWidth="1"/>
    <col min="10" max="10" width="7.85546875" style="117" hidden="1" customWidth="1"/>
    <col min="11" max="11" width="8.140625" style="117" hidden="1" customWidth="1"/>
    <col min="12" max="12" width="13.28515625" style="117" hidden="1" customWidth="1"/>
    <col min="13" max="13" width="0" style="118" hidden="1" customWidth="1"/>
    <col min="14" max="14" width="9.28515625" style="118" hidden="1" customWidth="1"/>
    <col min="15" max="15" width="9" style="117" hidden="1" customWidth="1"/>
    <col min="16" max="16" width="8.85546875" style="117" hidden="1" customWidth="1"/>
    <col min="17" max="17" width="9" style="117" hidden="1" customWidth="1"/>
    <col min="18" max="19" width="12.7109375" style="117" hidden="1" customWidth="1"/>
    <col min="20" max="24" width="12.7109375" style="117" customWidth="1"/>
    <col min="25" max="25" width="9.140625" style="117" customWidth="1"/>
    <col min="26" max="26" width="11.140625" style="117" customWidth="1"/>
    <col min="27" max="27" width="10.85546875" style="117" customWidth="1"/>
    <col min="28" max="16384" width="9.140625" style="117"/>
  </cols>
  <sheetData>
    <row r="4" spans="2:35" ht="16.5" x14ac:dyDescent="0.3">
      <c r="N4" s="622" t="s">
        <v>172</v>
      </c>
      <c r="O4" s="622"/>
      <c r="P4" s="622"/>
      <c r="Q4" s="622"/>
      <c r="R4" s="622"/>
      <c r="S4" s="622"/>
      <c r="T4" s="622"/>
      <c r="U4" s="622"/>
      <c r="V4" s="622"/>
      <c r="W4" s="622"/>
      <c r="X4" s="622"/>
      <c r="Y4" s="156"/>
    </row>
    <row r="5" spans="2:35" ht="9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8" spans="2:35" s="119" customFormat="1" ht="15.75" x14ac:dyDescent="0.25">
      <c r="B8" s="164">
        <v>3.05</v>
      </c>
      <c r="C8" s="623" t="s">
        <v>213</v>
      </c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157"/>
    </row>
    <row r="9" spans="2:35" x14ac:dyDescent="0.2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6"/>
      <c r="N9" s="166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2:35" ht="12.75" customHeight="1" x14ac:dyDescent="0.25">
      <c r="B10" s="165"/>
      <c r="C10" s="165"/>
      <c r="D10" s="167"/>
      <c r="E10" s="167"/>
      <c r="F10" s="167"/>
      <c r="G10" s="167"/>
      <c r="H10" s="167"/>
      <c r="I10" s="168"/>
      <c r="J10" s="168"/>
      <c r="K10" s="168"/>
      <c r="L10" s="165"/>
      <c r="M10" s="166"/>
      <c r="N10" s="166"/>
      <c r="O10" s="165"/>
      <c r="P10" s="165"/>
      <c r="Q10" s="165"/>
      <c r="R10" s="165"/>
      <c r="S10" s="165"/>
      <c r="T10" s="165"/>
      <c r="U10" s="165"/>
      <c r="V10" s="169"/>
      <c r="W10" s="169"/>
      <c r="X10" s="170" t="s">
        <v>139</v>
      </c>
      <c r="Y10" s="163"/>
    </row>
    <row r="11" spans="2:35" x14ac:dyDescent="0.2">
      <c r="B11" s="165"/>
      <c r="C11" s="171"/>
      <c r="D11" s="172">
        <v>1995</v>
      </c>
      <c r="E11" s="172">
        <v>1996</v>
      </c>
      <c r="F11" s="172">
        <v>1997</v>
      </c>
      <c r="G11" s="172">
        <v>1998</v>
      </c>
      <c r="H11" s="172">
        <v>1999</v>
      </c>
      <c r="I11" s="173">
        <f>H11+1</f>
        <v>2000</v>
      </c>
      <c r="J11" s="173">
        <f>I11+1</f>
        <v>2001</v>
      </c>
      <c r="K11" s="173">
        <f>J11+1</f>
        <v>2002</v>
      </c>
      <c r="L11" s="173">
        <f>K11+1</f>
        <v>2003</v>
      </c>
      <c r="M11" s="172">
        <v>2000</v>
      </c>
      <c r="N11" s="172">
        <v>2001</v>
      </c>
      <c r="O11" s="172">
        <v>2002</v>
      </c>
      <c r="P11" s="172">
        <v>2003</v>
      </c>
      <c r="Q11" s="172">
        <v>2004</v>
      </c>
      <c r="R11" s="172">
        <v>2005</v>
      </c>
      <c r="S11" s="172">
        <v>2006</v>
      </c>
      <c r="T11" s="172">
        <v>2007</v>
      </c>
      <c r="U11" s="172">
        <v>2008</v>
      </c>
      <c r="V11" s="174">
        <v>2009</v>
      </c>
      <c r="W11" s="175">
        <v>2010</v>
      </c>
      <c r="X11" s="175">
        <v>2011</v>
      </c>
      <c r="Y11" s="175">
        <v>2012</v>
      </c>
    </row>
    <row r="12" spans="2:35" x14ac:dyDescent="0.2">
      <c r="B12" s="165"/>
      <c r="C12" s="176" t="s">
        <v>16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8"/>
      <c r="N12" s="178"/>
      <c r="O12" s="177"/>
      <c r="P12" s="177"/>
      <c r="Q12" s="177"/>
      <c r="R12" s="177"/>
      <c r="S12" s="177"/>
      <c r="T12" s="177"/>
      <c r="U12" s="177"/>
      <c r="V12" s="177"/>
      <c r="W12" s="165"/>
      <c r="X12" s="165"/>
      <c r="Y12" s="165"/>
    </row>
    <row r="13" spans="2:35" x14ac:dyDescent="0.2">
      <c r="B13" s="165"/>
      <c r="C13" s="179"/>
      <c r="D13" s="177"/>
      <c r="E13" s="177"/>
      <c r="F13" s="177"/>
      <c r="G13" s="177"/>
      <c r="H13" s="177"/>
      <c r="I13" s="177"/>
      <c r="J13" s="177"/>
      <c r="K13" s="177"/>
      <c r="L13" s="177"/>
      <c r="M13" s="178"/>
      <c r="N13" s="178"/>
      <c r="O13" s="177"/>
      <c r="P13" s="177"/>
      <c r="Q13" s="177"/>
      <c r="R13" s="177"/>
      <c r="S13" s="177"/>
      <c r="T13" s="177"/>
      <c r="U13" s="177"/>
      <c r="V13" s="177"/>
      <c r="W13" s="165"/>
      <c r="X13" s="165"/>
      <c r="Y13" s="165"/>
      <c r="Z13" s="123"/>
    </row>
    <row r="14" spans="2:35" s="124" customFormat="1" ht="14.25" x14ac:dyDescent="0.2">
      <c r="B14" s="180"/>
      <c r="C14" s="181" t="s">
        <v>1</v>
      </c>
      <c r="D14" s="182">
        <f>D15+D16</f>
        <v>7042213.1500000004</v>
      </c>
      <c r="E14" s="182">
        <f>E15+E16</f>
        <v>6156703.4900000002</v>
      </c>
      <c r="F14" s="182">
        <f>F15+F16</f>
        <v>7033313.9800000004</v>
      </c>
      <c r="G14" s="183">
        <f t="shared" ref="G14:N14" si="0">SUM(G15:G16)</f>
        <v>7228.1</v>
      </c>
      <c r="H14" s="183">
        <f t="shared" si="0"/>
        <v>10720.038</v>
      </c>
      <c r="I14" s="183">
        <f t="shared" si="0"/>
        <v>0</v>
      </c>
      <c r="J14" s="183">
        <f t="shared" si="0"/>
        <v>0</v>
      </c>
      <c r="K14" s="183">
        <f t="shared" si="0"/>
        <v>0</v>
      </c>
      <c r="L14" s="183">
        <f t="shared" si="0"/>
        <v>0</v>
      </c>
      <c r="M14" s="183">
        <f t="shared" si="0"/>
        <v>10527.824000000001</v>
      </c>
      <c r="N14" s="184">
        <f t="shared" si="0"/>
        <v>11654.50908</v>
      </c>
      <c r="O14" s="184">
        <f>SUM(O15:O16)</f>
        <v>12171.915809999999</v>
      </c>
      <c r="P14" s="185" t="s">
        <v>112</v>
      </c>
      <c r="Q14" s="185" t="s">
        <v>112</v>
      </c>
      <c r="R14" s="186">
        <f t="shared" ref="R14:X14" si="1">SUM(R15:R16)</f>
        <v>16907.589749999999</v>
      </c>
      <c r="S14" s="187">
        <f t="shared" si="1"/>
        <v>24552.851999999999</v>
      </c>
      <c r="T14" s="187">
        <f t="shared" si="1"/>
        <v>27073.154999999999</v>
      </c>
      <c r="U14" s="187">
        <f t="shared" si="1"/>
        <v>30716.088000000003</v>
      </c>
      <c r="V14" s="187">
        <f t="shared" si="1"/>
        <v>31476.644</v>
      </c>
      <c r="W14" s="187">
        <f t="shared" si="1"/>
        <v>28806.389349999998</v>
      </c>
      <c r="X14" s="187">
        <f t="shared" si="1"/>
        <v>1515.3</v>
      </c>
      <c r="Y14" s="187"/>
      <c r="Z14" s="92"/>
    </row>
    <row r="15" spans="2:35" ht="14.25" x14ac:dyDescent="0.2">
      <c r="B15" s="165"/>
      <c r="C15" s="188" t="s">
        <v>4</v>
      </c>
      <c r="D15" s="178">
        <v>3931140</v>
      </c>
      <c r="E15" s="178">
        <v>3094373</v>
      </c>
      <c r="F15" s="178">
        <v>3614646</v>
      </c>
      <c r="G15" s="189">
        <v>3811.3</v>
      </c>
      <c r="H15" s="189">
        <f>5852301/1000</f>
        <v>5852.3010000000004</v>
      </c>
      <c r="I15" s="189"/>
      <c r="J15" s="189"/>
      <c r="K15" s="189"/>
      <c r="L15" s="189"/>
      <c r="M15" s="189">
        <v>6020</v>
      </c>
      <c r="N15" s="189">
        <f>6896896/1000</f>
        <v>6896.8959999999997</v>
      </c>
      <c r="O15" s="189">
        <f>6802288/1000</f>
        <v>6802.2879999999996</v>
      </c>
      <c r="P15" s="190" t="s">
        <v>112</v>
      </c>
      <c r="Q15" s="191">
        <f>8241300/1000</f>
        <v>8241.2999999999993</v>
      </c>
      <c r="R15" s="191">
        <f>13872700/1000</f>
        <v>13872.7</v>
      </c>
      <c r="S15" s="191">
        <f>14147083/1000</f>
        <v>14147.083000000001</v>
      </c>
      <c r="T15" s="192">
        <f>16655731/1000</f>
        <v>16655.731</v>
      </c>
      <c r="U15" s="193">
        <v>18598.900000000001</v>
      </c>
      <c r="V15" s="194">
        <v>18644.8</v>
      </c>
      <c r="W15" s="194">
        <v>17061</v>
      </c>
      <c r="X15" s="194"/>
      <c r="Y15" s="194"/>
      <c r="Z15" s="61"/>
      <c r="AC15" s="121">
        <f>(2809000/5129000)*100</f>
        <v>54.767011113277441</v>
      </c>
    </row>
    <row r="16" spans="2:35" x14ac:dyDescent="0.2">
      <c r="B16" s="165"/>
      <c r="C16" s="188" t="s">
        <v>5</v>
      </c>
      <c r="D16" s="178">
        <f>SUM(D17:D26)</f>
        <v>3111073.15</v>
      </c>
      <c r="E16" s="178">
        <f>SUM(E17:E26)</f>
        <v>3062330.4899999998</v>
      </c>
      <c r="F16" s="178">
        <f>SUM(F17:F26)</f>
        <v>3418667.98</v>
      </c>
      <c r="G16" s="195">
        <f>SUM(G17:G26)</f>
        <v>3416.7999999999997</v>
      </c>
      <c r="H16" s="195">
        <f>SUM(H17:H26)</f>
        <v>4867.7370000000001</v>
      </c>
      <c r="I16" s="196"/>
      <c r="J16" s="196"/>
      <c r="K16" s="196"/>
      <c r="L16" s="196"/>
      <c r="M16" s="195">
        <f t="shared" ref="M16:T16" si="2">SUM(M17:M26)</f>
        <v>4507.8239999999996</v>
      </c>
      <c r="N16" s="195">
        <f t="shared" si="2"/>
        <v>4757.6130800000001</v>
      </c>
      <c r="O16" s="195">
        <f t="shared" si="2"/>
        <v>5369.62781</v>
      </c>
      <c r="P16" s="197">
        <f t="shared" si="2"/>
        <v>4385.1428599999999</v>
      </c>
      <c r="Q16" s="197">
        <f t="shared" si="2"/>
        <v>1077.71811</v>
      </c>
      <c r="R16" s="197">
        <f t="shared" si="2"/>
        <v>3034.8897500000003</v>
      </c>
      <c r="S16" s="182">
        <f t="shared" si="2"/>
        <v>10405.769</v>
      </c>
      <c r="T16" s="197">
        <f t="shared" si="2"/>
        <v>10417.423999999999</v>
      </c>
      <c r="U16" s="198">
        <f>SUM(U17:U26)</f>
        <v>12117.188</v>
      </c>
      <c r="V16" s="198">
        <f>SUM(V17:V26)</f>
        <v>12831.843999999999</v>
      </c>
      <c r="W16" s="198">
        <f>SUM(W18:W26)</f>
        <v>11745.389349999999</v>
      </c>
      <c r="X16" s="198">
        <f>SUM(X18:X26)</f>
        <v>1515.3</v>
      </c>
      <c r="Y16" s="198"/>
      <c r="Z16" s="61"/>
    </row>
    <row r="17" spans="2:27" ht="14.25" x14ac:dyDescent="0.2">
      <c r="B17" s="165"/>
      <c r="C17" s="199" t="s">
        <v>81</v>
      </c>
      <c r="D17" s="178">
        <f>988390/2</f>
        <v>494195</v>
      </c>
      <c r="E17" s="178">
        <f>1040282/2</f>
        <v>520141</v>
      </c>
      <c r="F17" s="178">
        <v>1082080</v>
      </c>
      <c r="G17" s="189">
        <v>1132.0999999999999</v>
      </c>
      <c r="H17" s="189">
        <f>872437/1000</f>
        <v>872.43700000000001</v>
      </c>
      <c r="I17" s="178"/>
      <c r="J17" s="178"/>
      <c r="K17" s="178"/>
      <c r="L17" s="178"/>
      <c r="M17" s="185" t="s">
        <v>112</v>
      </c>
      <c r="N17" s="185" t="s">
        <v>112</v>
      </c>
      <c r="O17" s="185" t="s">
        <v>112</v>
      </c>
      <c r="P17" s="185" t="s">
        <v>112</v>
      </c>
      <c r="Q17" s="185" t="s">
        <v>112</v>
      </c>
      <c r="R17" s="185" t="s">
        <v>112</v>
      </c>
      <c r="S17" s="192">
        <f>1057126/1000</f>
        <v>1057.126</v>
      </c>
      <c r="T17" s="192">
        <f>1281784/1000</f>
        <v>1281.7840000000001</v>
      </c>
      <c r="U17" s="200">
        <f>710325/1000</f>
        <v>710.32500000000005</v>
      </c>
      <c r="V17" s="192">
        <f>826108/1000</f>
        <v>826.10799999999995</v>
      </c>
      <c r="W17" s="194">
        <v>709.2</v>
      </c>
      <c r="X17" s="194"/>
      <c r="Y17" s="194"/>
      <c r="Z17" s="61"/>
    </row>
    <row r="18" spans="2:27" ht="14.25" x14ac:dyDescent="0.2">
      <c r="B18" s="165"/>
      <c r="C18" s="199" t="s">
        <v>94</v>
      </c>
      <c r="D18" s="178">
        <v>615920</v>
      </c>
      <c r="E18" s="178">
        <v>615920</v>
      </c>
      <c r="F18" s="178">
        <v>770922</v>
      </c>
      <c r="G18" s="189">
        <v>756</v>
      </c>
      <c r="H18" s="189">
        <f>(955000*0.84)/1000</f>
        <v>802.2</v>
      </c>
      <c r="I18" s="178"/>
      <c r="J18" s="178"/>
      <c r="K18" s="178"/>
      <c r="L18" s="178"/>
      <c r="M18" s="189">
        <f>1147*0.84</f>
        <v>963.48</v>
      </c>
      <c r="N18" s="189">
        <f>(1132712/1000)*0.84</f>
        <v>951.47807999999998</v>
      </c>
      <c r="O18" s="189">
        <f>1533785.81/1000</f>
        <v>1533.7858100000001</v>
      </c>
      <c r="P18" s="189">
        <f>1531152.72/1000</f>
        <v>1531.15272</v>
      </c>
      <c r="Q18" s="185" t="s">
        <v>112</v>
      </c>
      <c r="R18" s="189">
        <f>1552176/1000</f>
        <v>1552.1759999999999</v>
      </c>
      <c r="S18" s="189">
        <f>1760474/1000</f>
        <v>1760.4739999999999</v>
      </c>
      <c r="T18" s="189">
        <f>2033051/1000</f>
        <v>2033.0509999999999</v>
      </c>
      <c r="U18" s="200">
        <f>2100514/1000</f>
        <v>2100.5140000000001</v>
      </c>
      <c r="V18" s="200">
        <f>2276490/1000</f>
        <v>2276.4899999999998</v>
      </c>
      <c r="W18" s="194">
        <v>2026.77035</v>
      </c>
      <c r="X18" s="194"/>
      <c r="Y18" s="194"/>
      <c r="Z18" s="61"/>
    </row>
    <row r="19" spans="2:27" ht="14.25" x14ac:dyDescent="0.2">
      <c r="B19" s="165"/>
      <c r="C19" s="199" t="s">
        <v>79</v>
      </c>
      <c r="D19" s="178">
        <v>570271.92000000004</v>
      </c>
      <c r="E19" s="178">
        <v>385498.34</v>
      </c>
      <c r="F19" s="178">
        <v>290031</v>
      </c>
      <c r="G19" s="185" t="s">
        <v>112</v>
      </c>
      <c r="H19" s="185" t="s">
        <v>112</v>
      </c>
      <c r="I19" s="178"/>
      <c r="J19" s="178"/>
      <c r="K19" s="178"/>
      <c r="L19" s="178"/>
      <c r="M19" s="189">
        <v>330</v>
      </c>
      <c r="N19" s="189">
        <f>373620/1000</f>
        <v>373.62</v>
      </c>
      <c r="O19" s="189">
        <f>427817/1000</f>
        <v>427.81700000000001</v>
      </c>
      <c r="P19" s="189">
        <f>375140.65/1000</f>
        <v>375.14065000000005</v>
      </c>
      <c r="Q19" s="185" t="s">
        <v>112</v>
      </c>
      <c r="R19" s="185" t="s">
        <v>112</v>
      </c>
      <c r="S19" s="192">
        <f>539000/1000</f>
        <v>539</v>
      </c>
      <c r="T19" s="192">
        <f>473000/1000</f>
        <v>473</v>
      </c>
      <c r="U19" s="200">
        <f>355000/1000</f>
        <v>355</v>
      </c>
      <c r="V19" s="200">
        <f>372722/1000</f>
        <v>372.72199999999998</v>
      </c>
      <c r="W19" s="194">
        <v>514.17462</v>
      </c>
      <c r="X19" s="194"/>
      <c r="Y19" s="194"/>
    </row>
    <row r="20" spans="2:27" ht="14.25" x14ac:dyDescent="0.2">
      <c r="B20" s="165"/>
      <c r="C20" s="199" t="s">
        <v>218</v>
      </c>
      <c r="D20" s="178"/>
      <c r="E20" s="178"/>
      <c r="F20" s="178"/>
      <c r="G20" s="185"/>
      <c r="H20" s="185"/>
      <c r="I20" s="178"/>
      <c r="J20" s="178"/>
      <c r="K20" s="178"/>
      <c r="L20" s="178"/>
      <c r="M20" s="189"/>
      <c r="N20" s="189"/>
      <c r="O20" s="189"/>
      <c r="P20" s="189"/>
      <c r="Q20" s="185"/>
      <c r="R20" s="185"/>
      <c r="S20" s="192"/>
      <c r="T20" s="192"/>
      <c r="U20" s="200"/>
      <c r="V20" s="200"/>
      <c r="W20" s="194"/>
      <c r="X20" s="194"/>
      <c r="Y20" s="194"/>
    </row>
    <row r="21" spans="2:27" ht="14.25" x14ac:dyDescent="0.2">
      <c r="B21" s="165"/>
      <c r="C21" s="199" t="s">
        <v>216</v>
      </c>
      <c r="D21" s="178"/>
      <c r="E21" s="178"/>
      <c r="F21" s="178"/>
      <c r="G21" s="185"/>
      <c r="H21" s="185"/>
      <c r="I21" s="178"/>
      <c r="J21" s="178"/>
      <c r="K21" s="178"/>
      <c r="L21" s="178"/>
      <c r="M21" s="189"/>
      <c r="N21" s="189"/>
      <c r="O21" s="189"/>
      <c r="P21" s="189"/>
      <c r="Q21" s="185"/>
      <c r="R21" s="185"/>
      <c r="S21" s="192"/>
      <c r="T21" s="192"/>
      <c r="U21" s="200"/>
      <c r="V21" s="200"/>
      <c r="W21" s="194"/>
      <c r="X21" s="194"/>
      <c r="Y21" s="194"/>
    </row>
    <row r="22" spans="2:27" ht="14.25" x14ac:dyDescent="0.2">
      <c r="B22" s="165"/>
      <c r="C22" s="199" t="s">
        <v>217</v>
      </c>
      <c r="D22" s="178"/>
      <c r="E22" s="178"/>
      <c r="F22" s="178"/>
      <c r="G22" s="185"/>
      <c r="H22" s="185"/>
      <c r="I22" s="178"/>
      <c r="J22" s="178"/>
      <c r="K22" s="178"/>
      <c r="L22" s="178"/>
      <c r="M22" s="189"/>
      <c r="N22" s="189"/>
      <c r="O22" s="189"/>
      <c r="P22" s="189"/>
      <c r="Q22" s="185"/>
      <c r="R22" s="185"/>
      <c r="S22" s="192"/>
      <c r="T22" s="192"/>
      <c r="U22" s="200"/>
      <c r="V22" s="200"/>
      <c r="W22" s="194"/>
      <c r="X22" s="194"/>
      <c r="Y22" s="194"/>
    </row>
    <row r="23" spans="2:27" x14ac:dyDescent="0.2">
      <c r="B23" s="165"/>
      <c r="C23" s="199" t="s">
        <v>80</v>
      </c>
      <c r="D23" s="178">
        <v>376290</v>
      </c>
      <c r="E23" s="178">
        <v>378116</v>
      </c>
      <c r="F23" s="178">
        <v>36964</v>
      </c>
      <c r="G23" s="192">
        <v>416.2</v>
      </c>
      <c r="H23" s="192">
        <v>397.3</v>
      </c>
      <c r="I23" s="201"/>
      <c r="J23" s="201"/>
      <c r="K23" s="201"/>
      <c r="L23" s="201"/>
      <c r="M23" s="192">
        <v>444.4</v>
      </c>
      <c r="N23" s="192">
        <f>468671/1000</f>
        <v>468.67099999999999</v>
      </c>
      <c r="O23" s="192">
        <f>466639/1000</f>
        <v>466.63900000000001</v>
      </c>
      <c r="P23" s="192">
        <f>440183.49/1000</f>
        <v>440.18349000000001</v>
      </c>
      <c r="Q23" s="192">
        <f>440680/1000</f>
        <v>440.68</v>
      </c>
      <c r="R23" s="192">
        <f>449546/1000</f>
        <v>449.54599999999999</v>
      </c>
      <c r="S23" s="192">
        <f>501627/1000</f>
        <v>501.62700000000001</v>
      </c>
      <c r="T23" s="192">
        <f>532415/1000</f>
        <v>532.41499999999996</v>
      </c>
      <c r="U23" s="200">
        <f>606746/1000</f>
        <v>606.74599999999998</v>
      </c>
      <c r="V23" s="202">
        <f>609509/1000</f>
        <v>609.50900000000001</v>
      </c>
      <c r="W23" s="203">
        <v>625.85</v>
      </c>
      <c r="X23" s="203"/>
      <c r="Y23" s="203"/>
    </row>
    <row r="24" spans="2:27" ht="14.25" x14ac:dyDescent="0.2">
      <c r="B24" s="165"/>
      <c r="C24" s="199" t="s">
        <v>114</v>
      </c>
      <c r="D24" s="178">
        <v>816552</v>
      </c>
      <c r="E24" s="178">
        <v>928409</v>
      </c>
      <c r="F24" s="178">
        <v>1013911</v>
      </c>
      <c r="G24" s="192">
        <v>756</v>
      </c>
      <c r="H24" s="192">
        <v>955</v>
      </c>
      <c r="I24" s="201"/>
      <c r="J24" s="201"/>
      <c r="K24" s="201"/>
      <c r="L24" s="201"/>
      <c r="M24" s="192">
        <f>(1849066/2)/1000</f>
        <v>924.53300000000002</v>
      </c>
      <c r="N24" s="192">
        <f>(2152734/2)/1000</f>
        <v>1076.367</v>
      </c>
      <c r="O24" s="192">
        <f>1175550/1000</f>
        <v>1175.55</v>
      </c>
      <c r="P24" s="204" t="s">
        <v>108</v>
      </c>
      <c r="Q24" s="204" t="s">
        <v>108</v>
      </c>
      <c r="R24" s="204" t="s">
        <v>108</v>
      </c>
      <c r="S24" s="205">
        <f>4217000/1000</f>
        <v>4217</v>
      </c>
      <c r="T24" s="205">
        <f>4914000/1000</f>
        <v>4914</v>
      </c>
      <c r="U24" s="205">
        <f>5129000/1000</f>
        <v>5129</v>
      </c>
      <c r="V24" s="192">
        <v>5567</v>
      </c>
      <c r="W24" s="192">
        <v>6176</v>
      </c>
      <c r="X24" s="192"/>
      <c r="Y24" s="192"/>
    </row>
    <row r="25" spans="2:27" ht="15" x14ac:dyDescent="0.25">
      <c r="B25" s="165"/>
      <c r="C25" s="199" t="s">
        <v>82</v>
      </c>
      <c r="D25" s="178"/>
      <c r="E25" s="178"/>
      <c r="F25" s="178"/>
      <c r="G25" s="192">
        <v>110.2</v>
      </c>
      <c r="H25" s="192">
        <v>1550.6</v>
      </c>
      <c r="I25" s="201"/>
      <c r="J25" s="201"/>
      <c r="K25" s="201"/>
      <c r="L25" s="201"/>
      <c r="M25" s="192">
        <f>1545711/1000</f>
        <v>1545.711</v>
      </c>
      <c r="N25" s="192">
        <f>1482464/1000</f>
        <v>1482.4639999999999</v>
      </c>
      <c r="O25" s="192">
        <f>1333073/1000</f>
        <v>1333.0730000000001</v>
      </c>
      <c r="P25" s="192">
        <f>1583379/1000</f>
        <v>1583.3789999999999</v>
      </c>
      <c r="Q25" s="204" t="s">
        <v>108</v>
      </c>
      <c r="R25" s="204" t="s">
        <v>108</v>
      </c>
      <c r="S25" s="192">
        <f>1322639/1000</f>
        <v>1322.6389999999999</v>
      </c>
      <c r="T25" s="204" t="s">
        <v>108</v>
      </c>
      <c r="U25" s="206">
        <f>1691012/1000</f>
        <v>1691.0119999999999</v>
      </c>
      <c r="V25" s="206">
        <f>1798606/1000</f>
        <v>1798.606</v>
      </c>
      <c r="W25" s="194">
        <v>1715.912</v>
      </c>
      <c r="X25" s="207">
        <v>1515.3</v>
      </c>
      <c r="Y25" s="207"/>
    </row>
    <row r="26" spans="2:27" x14ac:dyDescent="0.2">
      <c r="B26" s="165"/>
      <c r="C26" s="199" t="s">
        <v>95</v>
      </c>
      <c r="D26" s="178">
        <v>237844.23</v>
      </c>
      <c r="E26" s="178">
        <v>234246.15</v>
      </c>
      <c r="F26" s="178">
        <v>224759.98</v>
      </c>
      <c r="G26" s="192">
        <v>246.3</v>
      </c>
      <c r="H26" s="192">
        <v>290.2</v>
      </c>
      <c r="I26" s="201"/>
      <c r="J26" s="201"/>
      <c r="K26" s="201"/>
      <c r="L26" s="201"/>
      <c r="M26" s="192">
        <v>299.7</v>
      </c>
      <c r="N26" s="192">
        <f>405013/1000</f>
        <v>405.01299999999998</v>
      </c>
      <c r="O26" s="192">
        <f>432763/1000</f>
        <v>432.76299999999998</v>
      </c>
      <c r="P26" s="192">
        <f>455287/1000</f>
        <v>455.28699999999998</v>
      </c>
      <c r="Q26" s="192">
        <f>637038.11/1000</f>
        <v>637.03810999999996</v>
      </c>
      <c r="R26" s="192">
        <f>1033167.75/1000</f>
        <v>1033.1677500000001</v>
      </c>
      <c r="S26" s="192">
        <f>1007903/1000</f>
        <v>1007.903</v>
      </c>
      <c r="T26" s="192">
        <f>1183174/1000</f>
        <v>1183.174</v>
      </c>
      <c r="U26" s="206">
        <f>1524591/1000</f>
        <v>1524.5909999999999</v>
      </c>
      <c r="V26" s="206">
        <f>1381409/1000</f>
        <v>1381.4090000000001</v>
      </c>
      <c r="W26" s="194">
        <v>686.68237999999997</v>
      </c>
      <c r="X26" s="194"/>
      <c r="Y26" s="194"/>
      <c r="Z26" s="127"/>
      <c r="AA26" s="127"/>
    </row>
    <row r="27" spans="2:27" x14ac:dyDescent="0.2">
      <c r="B27" s="165"/>
      <c r="C27" s="208"/>
      <c r="D27" s="209"/>
      <c r="E27" s="210"/>
      <c r="F27" s="210"/>
      <c r="G27" s="211"/>
      <c r="H27" s="212"/>
      <c r="I27" s="211"/>
      <c r="J27" s="211"/>
      <c r="K27" s="211"/>
      <c r="L27" s="211"/>
      <c r="M27" s="212"/>
      <c r="N27" s="212"/>
      <c r="O27" s="212"/>
      <c r="P27" s="211"/>
      <c r="Q27" s="208"/>
      <c r="R27" s="208"/>
      <c r="S27" s="208"/>
      <c r="T27" s="201"/>
      <c r="U27" s="213"/>
      <c r="V27" s="165"/>
      <c r="W27" s="194"/>
      <c r="X27" s="194"/>
      <c r="Y27" s="194"/>
    </row>
    <row r="28" spans="2:27" x14ac:dyDescent="0.2">
      <c r="B28" s="165"/>
      <c r="C28" s="181" t="s">
        <v>2</v>
      </c>
      <c r="D28" s="182">
        <f t="shared" ref="D28:L28" si="3">D29+D30</f>
        <v>6779211</v>
      </c>
      <c r="E28" s="182">
        <f t="shared" si="3"/>
        <v>6772238</v>
      </c>
      <c r="F28" s="182">
        <f t="shared" si="3"/>
        <v>6552612</v>
      </c>
      <c r="G28" s="214">
        <f>G29+G30</f>
        <v>6632.9840000000004</v>
      </c>
      <c r="H28" s="214">
        <f t="shared" si="3"/>
        <v>10038.087</v>
      </c>
      <c r="I28" s="214" t="e">
        <f t="shared" si="3"/>
        <v>#REF!</v>
      </c>
      <c r="J28" s="214" t="e">
        <f t="shared" si="3"/>
        <v>#REF!</v>
      </c>
      <c r="K28" s="214" t="e">
        <f t="shared" si="3"/>
        <v>#REF!</v>
      </c>
      <c r="L28" s="214">
        <f t="shared" si="3"/>
        <v>0</v>
      </c>
      <c r="M28" s="214">
        <f>M29+M30</f>
        <v>9930.4749999999985</v>
      </c>
      <c r="N28" s="214">
        <f>N29+N30</f>
        <v>11255.095079999999</v>
      </c>
      <c r="O28" s="214">
        <f>O29+S2619</f>
        <v>9776.3389999999999</v>
      </c>
      <c r="P28" s="214">
        <f>P30</f>
        <v>1614.73794</v>
      </c>
      <c r="Q28" s="214">
        <f>(Q29)</f>
        <v>10749.148999999999</v>
      </c>
      <c r="R28" s="214">
        <f>(R29)</f>
        <v>17998.346000000001</v>
      </c>
      <c r="S28" s="214">
        <f t="shared" ref="S28:X28" si="4">SUM(S29:S30)</f>
        <v>22207.853999999999</v>
      </c>
      <c r="T28" s="214">
        <f t="shared" si="4"/>
        <v>23954.764999999999</v>
      </c>
      <c r="U28" s="214">
        <f t="shared" si="4"/>
        <v>25185.317999999999</v>
      </c>
      <c r="V28" s="215">
        <f t="shared" si="4"/>
        <v>24486.563000000002</v>
      </c>
      <c r="W28" s="186">
        <f t="shared" si="4"/>
        <v>24213.053460000003</v>
      </c>
      <c r="X28" s="186">
        <f t="shared" si="4"/>
        <v>0</v>
      </c>
      <c r="Y28" s="186"/>
    </row>
    <row r="29" spans="2:27" ht="14.25" x14ac:dyDescent="0.2">
      <c r="B29" s="165"/>
      <c r="C29" s="188" t="s">
        <v>4</v>
      </c>
      <c r="D29" s="178">
        <f>3284244+2581772</f>
        <v>5866016</v>
      </c>
      <c r="E29" s="178">
        <f>3609120+2223826</f>
        <v>5832946</v>
      </c>
      <c r="F29" s="178">
        <f>3340604+1944306</f>
        <v>5284910</v>
      </c>
      <c r="G29" s="201">
        <f>(3476028+2006737)/1000</f>
        <v>5482.7650000000003</v>
      </c>
      <c r="H29" s="192">
        <f>(4699089+4001625)/1000</f>
        <v>8700.7139999999999</v>
      </c>
      <c r="I29" s="201" t="e">
        <f>SUM(#REF!)</f>
        <v>#REF!</v>
      </c>
      <c r="J29" s="201" t="e">
        <f>SUM(#REF!)</f>
        <v>#REF!</v>
      </c>
      <c r="K29" s="201" t="e">
        <f>SUM(#REF!)</f>
        <v>#REF!</v>
      </c>
      <c r="L29" s="201"/>
      <c r="M29" s="192">
        <f>(4798054+4082781)/1000</f>
        <v>8880.8349999999991</v>
      </c>
      <c r="N29" s="192">
        <f>(5501338+4543930)/1000</f>
        <v>10045.268</v>
      </c>
      <c r="O29" s="192">
        <f>9776339/1000</f>
        <v>9776.3389999999999</v>
      </c>
      <c r="P29" s="185" t="s">
        <v>112</v>
      </c>
      <c r="Q29" s="192">
        <f>10749149/1000</f>
        <v>10749.148999999999</v>
      </c>
      <c r="R29" s="192">
        <f>17998346/1000</f>
        <v>17998.346000000001</v>
      </c>
      <c r="S29" s="192">
        <f>18583448/1000</f>
        <v>18583.448</v>
      </c>
      <c r="T29" s="216">
        <f>20310889/1000</f>
        <v>20310.888999999999</v>
      </c>
      <c r="U29" s="217">
        <v>21606.3</v>
      </c>
      <c r="V29" s="194">
        <v>20820.2</v>
      </c>
      <c r="W29" s="194">
        <v>19431.400000000001</v>
      </c>
      <c r="X29" s="194"/>
      <c r="Y29" s="194"/>
    </row>
    <row r="30" spans="2:27" ht="14.25" x14ac:dyDescent="0.2">
      <c r="B30" s="165"/>
      <c r="C30" s="188" t="s">
        <v>5</v>
      </c>
      <c r="D30" s="178">
        <f t="shared" ref="D30:L30" si="5">SUM(D31:D35)</f>
        <v>913195</v>
      </c>
      <c r="E30" s="178">
        <f t="shared" si="5"/>
        <v>939292</v>
      </c>
      <c r="F30" s="178">
        <f t="shared" si="5"/>
        <v>1267702</v>
      </c>
      <c r="G30" s="201">
        <f>SUM(G31:G35)</f>
        <v>1150.2190000000001</v>
      </c>
      <c r="H30" s="192">
        <f t="shared" si="5"/>
        <v>1337.373</v>
      </c>
      <c r="I30" s="201">
        <f t="shared" si="5"/>
        <v>0</v>
      </c>
      <c r="J30" s="201">
        <f t="shared" si="5"/>
        <v>0</v>
      </c>
      <c r="K30" s="201">
        <f t="shared" si="5"/>
        <v>0</v>
      </c>
      <c r="L30" s="201">
        <f t="shared" si="5"/>
        <v>0</v>
      </c>
      <c r="M30" s="201">
        <f>SUM(M31:M35)</f>
        <v>1049.6399999999999</v>
      </c>
      <c r="N30" s="192">
        <f>SUM(N31:N35)</f>
        <v>1209.82708</v>
      </c>
      <c r="O30" s="201">
        <f>SUM(O31:O35)</f>
        <v>1537.0638700000002</v>
      </c>
      <c r="P30" s="192">
        <f>SUM(P31:P35)</f>
        <v>1614.73794</v>
      </c>
      <c r="Q30" s="185" t="s">
        <v>112</v>
      </c>
      <c r="R30" s="185" t="s">
        <v>112</v>
      </c>
      <c r="S30" s="218">
        <f t="shared" ref="S30:X30" si="6">SUM(S31:S35)</f>
        <v>3624.4060000000004</v>
      </c>
      <c r="T30" s="218">
        <f t="shared" si="6"/>
        <v>3643.8759999999997</v>
      </c>
      <c r="U30" s="219">
        <f t="shared" si="6"/>
        <v>3579.018</v>
      </c>
      <c r="V30" s="220">
        <f t="shared" si="6"/>
        <v>3666.3629999999998</v>
      </c>
      <c r="W30" s="186">
        <f t="shared" si="6"/>
        <v>4781.6534599999995</v>
      </c>
      <c r="X30" s="186">
        <f t="shared" si="6"/>
        <v>0</v>
      </c>
      <c r="Y30" s="186"/>
    </row>
    <row r="31" spans="2:27" ht="14.25" x14ac:dyDescent="0.2">
      <c r="B31" s="165"/>
      <c r="C31" s="199" t="s">
        <v>81</v>
      </c>
      <c r="D31" s="178">
        <v>494195</v>
      </c>
      <c r="E31" s="178">
        <v>520141</v>
      </c>
      <c r="F31" s="178">
        <v>577435</v>
      </c>
      <c r="G31" s="192">
        <f>583219/1000</f>
        <v>583.21900000000005</v>
      </c>
      <c r="H31" s="192">
        <f>535173/1000</f>
        <v>535.173</v>
      </c>
      <c r="I31" s="221"/>
      <c r="J31" s="221"/>
      <c r="K31" s="221"/>
      <c r="L31" s="201"/>
      <c r="M31" s="185" t="s">
        <v>143</v>
      </c>
      <c r="N31" s="185" t="s">
        <v>143</v>
      </c>
      <c r="O31" s="185" t="s">
        <v>143</v>
      </c>
      <c r="P31" s="185" t="s">
        <v>143</v>
      </c>
      <c r="Q31" s="185" t="s">
        <v>112</v>
      </c>
      <c r="R31" s="185" t="s">
        <v>112</v>
      </c>
      <c r="S31" s="222">
        <f>1175314/1000</f>
        <v>1175.3140000000001</v>
      </c>
      <c r="T31" s="222">
        <f>954520/1000</f>
        <v>954.52</v>
      </c>
      <c r="U31" s="223">
        <f>529335/1000</f>
        <v>529.33500000000004</v>
      </c>
      <c r="V31" s="224">
        <f>615617/1000</f>
        <v>615.61699999999996</v>
      </c>
      <c r="W31" s="194">
        <v>866.9</v>
      </c>
      <c r="X31" s="194">
        <v>0</v>
      </c>
      <c r="Y31" s="194"/>
    </row>
    <row r="32" spans="2:27" ht="14.25" x14ac:dyDescent="0.2">
      <c r="B32" s="165"/>
      <c r="C32" s="199" t="s">
        <v>94</v>
      </c>
      <c r="D32" s="178">
        <v>419000</v>
      </c>
      <c r="E32" s="178">
        <v>419151</v>
      </c>
      <c r="F32" s="178">
        <v>554920</v>
      </c>
      <c r="G32" s="192">
        <f>(675000*0.84)/1000</f>
        <v>567</v>
      </c>
      <c r="H32" s="192">
        <f>(955000*0.84)/1000</f>
        <v>802.2</v>
      </c>
      <c r="I32" s="221"/>
      <c r="J32" s="221"/>
      <c r="K32" s="221"/>
      <c r="L32" s="201"/>
      <c r="M32" s="192">
        <f>(1013000*0.84)/1000</f>
        <v>850.92</v>
      </c>
      <c r="N32" s="192">
        <f>(1177662*0.84)/1000</f>
        <v>989.2360799999999</v>
      </c>
      <c r="O32" s="201">
        <f>1308893.87/1000</f>
        <v>1308.8938700000001</v>
      </c>
      <c r="P32" s="192">
        <f>1384813.03/1000</f>
        <v>1384.81303</v>
      </c>
      <c r="Q32" s="185" t="s">
        <v>112</v>
      </c>
      <c r="R32" s="192">
        <f>2280540/1000</f>
        <v>2280.54</v>
      </c>
      <c r="S32" s="222">
        <f>2136308/1000</f>
        <v>2136.308</v>
      </c>
      <c r="T32" s="222">
        <f>2456037/1000</f>
        <v>2456.0369999999998</v>
      </c>
      <c r="U32" s="225">
        <f>2834420/1000</f>
        <v>2834.42</v>
      </c>
      <c r="V32" s="226">
        <f>2817427/1000</f>
        <v>2817.4270000000001</v>
      </c>
      <c r="W32" s="194">
        <v>2872.5669199999998</v>
      </c>
      <c r="X32" s="194">
        <v>0</v>
      </c>
      <c r="Y32" s="194"/>
    </row>
    <row r="33" spans="2:25" ht="14.25" x14ac:dyDescent="0.2">
      <c r="B33" s="165"/>
      <c r="C33" s="199" t="s">
        <v>79</v>
      </c>
      <c r="D33" s="227" t="s">
        <v>78</v>
      </c>
      <c r="E33" s="227" t="s">
        <v>78</v>
      </c>
      <c r="F33" s="178">
        <v>135347</v>
      </c>
      <c r="G33" s="204"/>
      <c r="H33" s="221" t="s">
        <v>78</v>
      </c>
      <c r="I33" s="221"/>
      <c r="J33" s="221"/>
      <c r="K33" s="221"/>
      <c r="L33" s="201"/>
      <c r="M33" s="192">
        <f>198720/1000</f>
        <v>198.72</v>
      </c>
      <c r="N33" s="192">
        <f>(220591)/1000</f>
        <v>220.59100000000001</v>
      </c>
      <c r="O33" s="192">
        <f>228170/1000</f>
        <v>228.17</v>
      </c>
      <c r="P33" s="192">
        <f>229924.91/1000</f>
        <v>229.92491000000001</v>
      </c>
      <c r="Q33" s="185" t="s">
        <v>112</v>
      </c>
      <c r="R33" s="185" t="s">
        <v>112</v>
      </c>
      <c r="S33" s="222">
        <f>312784/1000</f>
        <v>312.78399999999999</v>
      </c>
      <c r="T33" s="222">
        <f>233319/1000</f>
        <v>233.31899999999999</v>
      </c>
      <c r="U33" s="225">
        <f>215263/1000</f>
        <v>215.26300000000001</v>
      </c>
      <c r="V33" s="226">
        <f>T33</f>
        <v>233.31899999999999</v>
      </c>
      <c r="W33" s="194">
        <v>285.65249</v>
      </c>
      <c r="X33" s="194">
        <v>0</v>
      </c>
      <c r="Y33" s="194"/>
    </row>
    <row r="34" spans="2:25" ht="12.75" customHeight="1" x14ac:dyDescent="0.2">
      <c r="B34" s="165"/>
      <c r="C34" s="228" t="s">
        <v>95</v>
      </c>
      <c r="D34" s="227"/>
      <c r="E34" s="178"/>
      <c r="F34" s="178"/>
      <c r="G34" s="192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204" t="s">
        <v>108</v>
      </c>
      <c r="T34" s="204" t="s">
        <v>108</v>
      </c>
      <c r="U34" s="204" t="s">
        <v>108</v>
      </c>
      <c r="V34" s="204" t="s">
        <v>108</v>
      </c>
      <c r="W34" s="194">
        <v>756.53405000000009</v>
      </c>
      <c r="X34" s="194">
        <v>0</v>
      </c>
      <c r="Y34" s="194"/>
    </row>
    <row r="35" spans="2:25" ht="14.25" x14ac:dyDescent="0.2">
      <c r="B35" s="165"/>
      <c r="C35" s="199" t="s">
        <v>218</v>
      </c>
      <c r="D35" s="227"/>
      <c r="E35" s="227"/>
      <c r="F35" s="178"/>
      <c r="G35" s="192"/>
      <c r="H35" s="192"/>
      <c r="I35" s="201"/>
      <c r="J35" s="201"/>
      <c r="K35" s="201"/>
      <c r="L35" s="201"/>
      <c r="M35" s="192"/>
      <c r="N35" s="201"/>
      <c r="O35" s="192"/>
      <c r="P35" s="185"/>
      <c r="Q35" s="185"/>
      <c r="R35" s="185"/>
      <c r="S35" s="229"/>
      <c r="T35" s="229"/>
      <c r="U35" s="229"/>
      <c r="V35" s="226"/>
      <c r="W35" s="226"/>
      <c r="X35" s="226"/>
      <c r="Y35" s="226"/>
    </row>
    <row r="36" spans="2:25" x14ac:dyDescent="0.2">
      <c r="B36" s="165"/>
      <c r="C36" s="230" t="s">
        <v>217</v>
      </c>
      <c r="D36" s="177"/>
      <c r="E36" s="177"/>
      <c r="F36" s="177"/>
      <c r="G36" s="208"/>
      <c r="H36" s="231"/>
      <c r="I36" s="231"/>
      <c r="J36" s="231"/>
      <c r="K36" s="231"/>
      <c r="L36" s="211"/>
      <c r="M36" s="212"/>
      <c r="N36" s="212"/>
      <c r="O36" s="212"/>
      <c r="P36" s="211"/>
      <c r="Q36" s="208"/>
      <c r="R36" s="208"/>
      <c r="S36" s="232"/>
      <c r="T36" s="222"/>
      <c r="U36" s="233"/>
      <c r="V36" s="226"/>
      <c r="W36" s="226"/>
      <c r="X36" s="226"/>
      <c r="Y36" s="226"/>
    </row>
    <row r="37" spans="2:25" x14ac:dyDescent="0.2">
      <c r="B37" s="165"/>
      <c r="C37" s="230" t="s">
        <v>216</v>
      </c>
      <c r="D37" s="177"/>
      <c r="E37" s="177"/>
      <c r="F37" s="177"/>
      <c r="G37" s="208"/>
      <c r="H37" s="231"/>
      <c r="I37" s="231"/>
      <c r="J37" s="231"/>
      <c r="K37" s="231"/>
      <c r="L37" s="211"/>
      <c r="M37" s="212"/>
      <c r="N37" s="212"/>
      <c r="O37" s="212"/>
      <c r="P37" s="211"/>
      <c r="Q37" s="208"/>
      <c r="R37" s="208"/>
      <c r="S37" s="232"/>
      <c r="T37" s="222"/>
      <c r="U37" s="233"/>
      <c r="V37" s="226"/>
      <c r="W37" s="226"/>
      <c r="X37" s="226"/>
      <c r="Y37" s="226"/>
    </row>
    <row r="38" spans="2:25" x14ac:dyDescent="0.2">
      <c r="B38" s="165"/>
      <c r="C38" s="279"/>
      <c r="D38" s="210"/>
      <c r="E38" s="210"/>
      <c r="F38" s="210"/>
      <c r="G38" s="211"/>
      <c r="H38" s="211"/>
      <c r="I38" s="211"/>
      <c r="J38" s="211"/>
      <c r="K38" s="211"/>
      <c r="L38" s="211"/>
      <c r="M38" s="212"/>
      <c r="N38" s="212"/>
      <c r="O38" s="212"/>
      <c r="P38" s="211"/>
      <c r="Q38" s="208"/>
      <c r="R38" s="208"/>
      <c r="S38" s="232"/>
      <c r="T38" s="222"/>
      <c r="U38" s="233"/>
      <c r="V38" s="226"/>
      <c r="W38" s="226"/>
      <c r="X38" s="226"/>
      <c r="Y38" s="226"/>
    </row>
    <row r="39" spans="2:25" x14ac:dyDescent="0.2">
      <c r="B39" s="165"/>
      <c r="C39" s="181" t="s">
        <v>14</v>
      </c>
      <c r="D39" s="182">
        <f>487117+98117+334736</f>
        <v>919970</v>
      </c>
      <c r="E39" s="182">
        <f>480134+160570+254455</f>
        <v>895159</v>
      </c>
      <c r="F39" s="182">
        <f>467085+89806+296847</f>
        <v>853738</v>
      </c>
      <c r="G39" s="214">
        <f>(488495+89476+327693)/1000</f>
        <v>905.66399999999999</v>
      </c>
      <c r="H39" s="214">
        <f>(723036+178356+582522)/1000</f>
        <v>1483.914</v>
      </c>
      <c r="I39" s="234"/>
      <c r="J39" s="234"/>
      <c r="K39" s="234"/>
      <c r="L39" s="234"/>
      <c r="M39" s="214">
        <f>(758325+238346+542525)/1000</f>
        <v>1539.1959999999999</v>
      </c>
      <c r="N39" s="214">
        <f>(1034993+273114+477626)/1000</f>
        <v>1785.7329999999999</v>
      </c>
      <c r="O39" s="214">
        <f>1757868/1000</f>
        <v>1757.8679999999999</v>
      </c>
      <c r="P39" s="235" t="s">
        <v>140</v>
      </c>
      <c r="Q39" s="236">
        <f>2010639/1000</f>
        <v>2010.6389999999999</v>
      </c>
      <c r="R39" s="236">
        <f>2801112/1000</f>
        <v>2801.1120000000001</v>
      </c>
      <c r="S39" s="237">
        <f>3167438/1000</f>
        <v>3167.4380000000001</v>
      </c>
      <c r="T39" s="219">
        <f>3783841/1000</f>
        <v>3783.8409999999999</v>
      </c>
      <c r="U39" s="238">
        <v>4427.8999999999996</v>
      </c>
      <c r="V39" s="239">
        <v>4698.2</v>
      </c>
      <c r="W39" s="239">
        <v>3790.8</v>
      </c>
      <c r="X39" s="239"/>
      <c r="Y39" s="239"/>
    </row>
    <row r="40" spans="2:25" ht="12" customHeight="1" x14ac:dyDescent="0.2">
      <c r="B40" s="165"/>
      <c r="C40" s="177"/>
      <c r="D40" s="210"/>
      <c r="E40" s="210"/>
      <c r="F40" s="210"/>
      <c r="G40" s="211"/>
      <c r="H40" s="211"/>
      <c r="I40" s="211"/>
      <c r="J40" s="211"/>
      <c r="K40" s="211"/>
      <c r="L40" s="211"/>
      <c r="M40" s="212"/>
      <c r="N40" s="212"/>
      <c r="O40" s="212"/>
      <c r="P40" s="221"/>
      <c r="Q40" s="208"/>
      <c r="R40" s="208"/>
      <c r="S40" s="232"/>
      <c r="T40" s="240"/>
      <c r="U40" s="233"/>
      <c r="V40" s="226"/>
      <c r="W40" s="226"/>
      <c r="X40" s="226"/>
      <c r="Y40" s="226"/>
    </row>
    <row r="41" spans="2:25" x14ac:dyDescent="0.2">
      <c r="B41" s="165"/>
      <c r="C41" s="181" t="s">
        <v>117</v>
      </c>
      <c r="D41" s="182">
        <f t="shared" ref="D41:M41" si="7">SUM(D42:D44)</f>
        <v>2050017</v>
      </c>
      <c r="E41" s="182">
        <f t="shared" si="7"/>
        <v>2163591</v>
      </c>
      <c r="F41" s="182">
        <f t="shared" si="7"/>
        <v>2155711</v>
      </c>
      <c r="G41" s="214">
        <f>SUM(G42:G44)</f>
        <v>2197.6390000000001</v>
      </c>
      <c r="H41" s="214">
        <f t="shared" si="7"/>
        <v>2305.4160000000002</v>
      </c>
      <c r="I41" s="214">
        <f t="shared" si="7"/>
        <v>0</v>
      </c>
      <c r="J41" s="214">
        <f t="shared" si="7"/>
        <v>0</v>
      </c>
      <c r="K41" s="214">
        <f t="shared" si="7"/>
        <v>0</v>
      </c>
      <c r="L41" s="214">
        <f t="shared" si="7"/>
        <v>0</v>
      </c>
      <c r="M41" s="214">
        <f t="shared" si="7"/>
        <v>2499.8020000000001</v>
      </c>
      <c r="N41" s="214">
        <f t="shared" ref="N41:S41" si="8">SUM(N42:N44)</f>
        <v>2626.94</v>
      </c>
      <c r="O41" s="214">
        <f t="shared" si="8"/>
        <v>3056.0119999999997</v>
      </c>
      <c r="P41" s="214">
        <f t="shared" si="8"/>
        <v>1621.3820000000001</v>
      </c>
      <c r="Q41" s="214">
        <f t="shared" si="8"/>
        <v>809.18100000000004</v>
      </c>
      <c r="R41" s="214">
        <f t="shared" si="8"/>
        <v>393.51799999999997</v>
      </c>
      <c r="S41" s="241">
        <f t="shared" si="8"/>
        <v>543.15300000000002</v>
      </c>
      <c r="T41" s="241">
        <f>SUM(T42:T44)</f>
        <v>461.00799999999998</v>
      </c>
      <c r="U41" s="219">
        <f>SUM(U42:U44)</f>
        <v>761.30499999999995</v>
      </c>
      <c r="V41" s="219">
        <f>SUM(V42:V44)</f>
        <v>813.93100000000004</v>
      </c>
      <c r="W41" s="219">
        <f>SUM(W42:W44)</f>
        <v>983.55700000000002</v>
      </c>
      <c r="X41" s="219">
        <f>SUM(X42:X44)</f>
        <v>1012.3</v>
      </c>
      <c r="Y41" s="219"/>
    </row>
    <row r="42" spans="2:25" ht="14.25" outlineLevel="1" x14ac:dyDescent="0.2">
      <c r="B42" s="165"/>
      <c r="C42" s="199" t="s">
        <v>153</v>
      </c>
      <c r="D42" s="178">
        <v>1322306</v>
      </c>
      <c r="E42" s="178">
        <v>1388290</v>
      </c>
      <c r="F42" s="178">
        <v>1698251</v>
      </c>
      <c r="G42" s="242">
        <f>1781583/1000</f>
        <v>1781.5830000000001</v>
      </c>
      <c r="H42" s="192">
        <f>1806384/1000</f>
        <v>1806.384</v>
      </c>
      <c r="I42" s="208"/>
      <c r="J42" s="208"/>
      <c r="K42" s="208"/>
      <c r="L42" s="208"/>
      <c r="M42" s="192">
        <f>1993554/1000</f>
        <v>1993.5540000000001</v>
      </c>
      <c r="N42" s="192">
        <f>2000000/1000</f>
        <v>2000</v>
      </c>
      <c r="O42" s="192">
        <f>2234357/1000</f>
        <v>2234.357</v>
      </c>
      <c r="P42" s="185" t="s">
        <v>112</v>
      </c>
      <c r="Q42" s="185" t="s">
        <v>143</v>
      </c>
      <c r="R42" s="185" t="s">
        <v>143</v>
      </c>
      <c r="S42" s="229" t="s">
        <v>143</v>
      </c>
      <c r="T42" s="229" t="s">
        <v>143</v>
      </c>
      <c r="U42" s="243" t="s">
        <v>143</v>
      </c>
      <c r="V42" s="243" t="s">
        <v>143</v>
      </c>
      <c r="W42" s="243" t="s">
        <v>143</v>
      </c>
      <c r="X42" s="243" t="s">
        <v>143</v>
      </c>
      <c r="Y42" s="243"/>
    </row>
    <row r="43" spans="2:25" outlineLevel="1" x14ac:dyDescent="0.2">
      <c r="B43" s="165"/>
      <c r="C43" s="199" t="s">
        <v>83</v>
      </c>
      <c r="D43" s="178">
        <v>400451</v>
      </c>
      <c r="E43" s="178">
        <v>437768</v>
      </c>
      <c r="F43" s="178">
        <v>457460</v>
      </c>
      <c r="G43" s="242">
        <f>416056/1000</f>
        <v>416.05599999999998</v>
      </c>
      <c r="H43" s="192">
        <f>499032/1000</f>
        <v>499.03199999999998</v>
      </c>
      <c r="I43" s="234"/>
      <c r="J43" s="234"/>
      <c r="K43" s="234"/>
      <c r="L43" s="234"/>
      <c r="M43" s="192">
        <f>506248/1000</f>
        <v>506.24799999999999</v>
      </c>
      <c r="N43" s="192">
        <f>626940/1000</f>
        <v>626.94000000000005</v>
      </c>
      <c r="O43" s="192">
        <f>821655/1000</f>
        <v>821.65499999999997</v>
      </c>
      <c r="P43" s="192">
        <f>909106/1000</f>
        <v>909.10599999999999</v>
      </c>
      <c r="Q43" s="192">
        <f>809181/1000</f>
        <v>809.18100000000004</v>
      </c>
      <c r="R43" s="192">
        <f>393518/1000</f>
        <v>393.51799999999997</v>
      </c>
      <c r="S43" s="222">
        <f>543153/1000</f>
        <v>543.15300000000002</v>
      </c>
      <c r="T43" s="222">
        <f>461008/1000</f>
        <v>461.00799999999998</v>
      </c>
      <c r="U43" s="225">
        <f>761305/1000</f>
        <v>761.30499999999995</v>
      </c>
      <c r="V43" s="226">
        <f>813931/1000</f>
        <v>813.93100000000004</v>
      </c>
      <c r="W43" s="244">
        <v>983.55700000000002</v>
      </c>
      <c r="X43" s="244">
        <v>1012.3</v>
      </c>
      <c r="Y43" s="244"/>
    </row>
    <row r="44" spans="2:25" ht="14.25" outlineLevel="1" x14ac:dyDescent="0.2">
      <c r="B44" s="165"/>
      <c r="C44" s="199" t="s">
        <v>84</v>
      </c>
      <c r="D44" s="178">
        <v>327260</v>
      </c>
      <c r="E44" s="178">
        <v>337533</v>
      </c>
      <c r="F44" s="227" t="s">
        <v>78</v>
      </c>
      <c r="G44" s="185" t="s">
        <v>110</v>
      </c>
      <c r="H44" s="185" t="s">
        <v>110</v>
      </c>
      <c r="I44" s="185" t="s">
        <v>110</v>
      </c>
      <c r="J44" s="185" t="s">
        <v>110</v>
      </c>
      <c r="K44" s="185" t="s">
        <v>110</v>
      </c>
      <c r="L44" s="185" t="s">
        <v>110</v>
      </c>
      <c r="M44" s="185" t="s">
        <v>110</v>
      </c>
      <c r="N44" s="185" t="s">
        <v>110</v>
      </c>
      <c r="O44" s="185" t="s">
        <v>110</v>
      </c>
      <c r="P44" s="192">
        <f>712276/1000</f>
        <v>712.27599999999995</v>
      </c>
      <c r="Q44" s="185" t="s">
        <v>143</v>
      </c>
      <c r="R44" s="185" t="s">
        <v>143</v>
      </c>
      <c r="S44" s="229" t="s">
        <v>143</v>
      </c>
      <c r="T44" s="229" t="s">
        <v>143</v>
      </c>
      <c r="U44" s="243" t="s">
        <v>143</v>
      </c>
      <c r="V44" s="243" t="s">
        <v>143</v>
      </c>
      <c r="W44" s="243" t="s">
        <v>143</v>
      </c>
      <c r="X44" s="243" t="s">
        <v>143</v>
      </c>
      <c r="Y44" s="243"/>
    </row>
    <row r="45" spans="2:25" ht="14.25" x14ac:dyDescent="0.2">
      <c r="B45" s="165"/>
      <c r="C45" s="245"/>
      <c r="D45" s="246"/>
      <c r="E45" s="246"/>
      <c r="F45" s="246"/>
      <c r="G45" s="247"/>
      <c r="H45" s="247"/>
      <c r="I45" s="246"/>
      <c r="J45" s="246"/>
      <c r="K45" s="246"/>
      <c r="L45" s="246"/>
      <c r="M45" s="247"/>
      <c r="N45" s="247"/>
      <c r="O45" s="247"/>
      <c r="P45" s="248"/>
      <c r="Q45" s="248"/>
      <c r="R45" s="248"/>
      <c r="S45" s="249"/>
      <c r="T45" s="249"/>
      <c r="U45" s="249"/>
      <c r="V45" s="249"/>
      <c r="W45" s="250"/>
      <c r="X45" s="250"/>
      <c r="Y45" s="250"/>
    </row>
    <row r="46" spans="2:25" x14ac:dyDescent="0.2">
      <c r="B46" s="165"/>
      <c r="C46" s="251"/>
      <c r="D46" s="182"/>
      <c r="E46" s="182"/>
      <c r="F46" s="182"/>
      <c r="G46" s="182"/>
      <c r="H46" s="182"/>
      <c r="I46" s="182"/>
      <c r="J46" s="182"/>
      <c r="K46" s="182"/>
      <c r="L46" s="177"/>
      <c r="M46" s="178"/>
      <c r="N46" s="178"/>
      <c r="O46" s="178"/>
      <c r="P46" s="177"/>
      <c r="Q46" s="252"/>
      <c r="R46" s="252"/>
      <c r="S46" s="253"/>
      <c r="T46" s="253"/>
      <c r="U46" s="253"/>
      <c r="V46" s="253"/>
      <c r="W46" s="253"/>
      <c r="X46" s="233"/>
      <c r="Y46" s="233"/>
    </row>
    <row r="47" spans="2:25" x14ac:dyDescent="0.2">
      <c r="B47" s="165"/>
      <c r="C47" s="251"/>
      <c r="D47" s="182"/>
      <c r="E47" s="182"/>
      <c r="F47" s="182"/>
      <c r="G47" s="182"/>
      <c r="H47" s="182"/>
      <c r="I47" s="182"/>
      <c r="J47" s="182"/>
      <c r="K47" s="182"/>
      <c r="L47" s="177"/>
      <c r="M47" s="178"/>
      <c r="N47" s="178"/>
      <c r="O47" s="178"/>
      <c r="P47" s="177"/>
      <c r="Q47" s="252"/>
      <c r="R47" s="252"/>
      <c r="S47" s="253"/>
      <c r="T47" s="253"/>
      <c r="U47" s="253"/>
      <c r="V47" s="253"/>
      <c r="W47" s="253"/>
      <c r="X47" s="233"/>
      <c r="Y47" s="233"/>
    </row>
    <row r="48" spans="2:25" ht="15.75" x14ac:dyDescent="0.25">
      <c r="B48" s="254"/>
      <c r="C48" s="255" t="s">
        <v>18</v>
      </c>
      <c r="D48" s="256"/>
      <c r="E48" s="256"/>
      <c r="F48" s="256"/>
      <c r="G48" s="256"/>
      <c r="H48" s="256"/>
      <c r="I48" s="256"/>
      <c r="J48" s="256"/>
      <c r="K48" s="256"/>
      <c r="L48" s="171"/>
      <c r="M48" s="257"/>
      <c r="N48" s="257"/>
      <c r="O48" s="257"/>
      <c r="P48" s="171"/>
      <c r="Q48" s="252"/>
      <c r="R48" s="252"/>
      <c r="S48" s="253"/>
      <c r="T48" s="253"/>
      <c r="U48" s="253"/>
      <c r="V48" s="253"/>
      <c r="W48" s="253"/>
      <c r="X48" s="233"/>
      <c r="Y48" s="233"/>
    </row>
    <row r="49" spans="2:25" ht="15.75" x14ac:dyDescent="0.25">
      <c r="B49" s="254"/>
      <c r="C49" s="255"/>
      <c r="D49" s="256"/>
      <c r="E49" s="256"/>
      <c r="F49" s="256"/>
      <c r="G49" s="256"/>
      <c r="H49" s="256"/>
      <c r="I49" s="256"/>
      <c r="J49" s="256"/>
      <c r="K49" s="256"/>
      <c r="L49" s="171"/>
      <c r="M49" s="257"/>
      <c r="N49" s="257"/>
      <c r="O49" s="257"/>
      <c r="P49" s="171"/>
      <c r="Q49" s="252"/>
      <c r="R49" s="252"/>
      <c r="S49" s="253"/>
      <c r="T49" s="253"/>
      <c r="U49" s="253"/>
      <c r="V49" s="253"/>
      <c r="W49" s="253"/>
      <c r="X49" s="233"/>
      <c r="Y49" s="233"/>
    </row>
    <row r="50" spans="2:25" ht="14.25" x14ac:dyDescent="0.2">
      <c r="B50" s="165"/>
      <c r="C50" s="258" t="s">
        <v>24</v>
      </c>
      <c r="D50" s="259">
        <f t="shared" ref="D50:K50" si="9">SUM(D52,D54)</f>
        <v>1437822</v>
      </c>
      <c r="E50" s="259">
        <f t="shared" si="9"/>
        <v>1313556.26</v>
      </c>
      <c r="F50" s="259">
        <f t="shared" si="9"/>
        <v>1304599.1599999999</v>
      </c>
      <c r="G50" s="259">
        <f t="shared" si="9"/>
        <v>1383.3630000000001</v>
      </c>
      <c r="H50" s="259">
        <f t="shared" si="9"/>
        <v>1902.6558000000002</v>
      </c>
      <c r="I50" s="259">
        <f t="shared" si="9"/>
        <v>0</v>
      </c>
      <c r="J50" s="259">
        <f t="shared" si="9"/>
        <v>0</v>
      </c>
      <c r="K50" s="259">
        <f t="shared" si="9"/>
        <v>0</v>
      </c>
      <c r="L50" s="171"/>
      <c r="M50" s="259">
        <f>SUM(M52,M54)</f>
        <v>2094.0245</v>
      </c>
      <c r="N50" s="259">
        <f>SUM(N52,N54)</f>
        <v>2209.4236500000002</v>
      </c>
      <c r="O50" s="259">
        <f>SUM(O52,O54)</f>
        <v>2196.0070000000001</v>
      </c>
      <c r="P50" s="260" t="s">
        <v>110</v>
      </c>
      <c r="Q50" s="261">
        <f>SUM(Q52,Q54)</f>
        <v>2454.0949999999998</v>
      </c>
      <c r="R50" s="262">
        <f>SUM(R52,R54)</f>
        <v>2913.221</v>
      </c>
      <c r="S50" s="263">
        <f>SUM(S52,S54)</f>
        <v>3241.6840000000002</v>
      </c>
      <c r="T50" s="263">
        <f>SUM(T52,T54)</f>
        <v>3812.4709999999995</v>
      </c>
      <c r="U50" s="263">
        <v>4501.8</v>
      </c>
      <c r="V50" s="263">
        <f>SUM(V52,V54)</f>
        <v>6841.1</v>
      </c>
      <c r="W50" s="263">
        <f>SUM(W52,W54)</f>
        <v>4436.8999999999996</v>
      </c>
      <c r="X50" s="194">
        <v>0</v>
      </c>
      <c r="Y50" s="194"/>
    </row>
    <row r="51" spans="2:25" x14ac:dyDescent="0.2">
      <c r="B51" s="165"/>
      <c r="C51" s="258"/>
      <c r="D51" s="264"/>
      <c r="E51" s="265"/>
      <c r="F51" s="257"/>
      <c r="G51" s="257"/>
      <c r="H51" s="257"/>
      <c r="I51" s="265"/>
      <c r="J51" s="265"/>
      <c r="K51" s="265"/>
      <c r="L51" s="171"/>
      <c r="M51" s="257"/>
      <c r="N51" s="257"/>
      <c r="O51" s="257"/>
      <c r="P51" s="171"/>
      <c r="Q51" s="252"/>
      <c r="R51" s="252"/>
      <c r="S51" s="253"/>
      <c r="T51" s="253"/>
      <c r="U51" s="253"/>
      <c r="V51" s="253"/>
      <c r="W51" s="233"/>
      <c r="X51" s="233"/>
      <c r="Y51" s="233"/>
    </row>
    <row r="52" spans="2:25" ht="14.25" x14ac:dyDescent="0.2">
      <c r="B52" s="165"/>
      <c r="C52" s="181" t="s">
        <v>1</v>
      </c>
      <c r="D52" s="182">
        <f>614506</f>
        <v>614506</v>
      </c>
      <c r="E52" s="182">
        <f>549854.14</f>
        <v>549854.14</v>
      </c>
      <c r="F52" s="182">
        <f>570814.84</f>
        <v>570814.84</v>
      </c>
      <c r="G52" s="184">
        <f>601648/1000</f>
        <v>601.64800000000002</v>
      </c>
      <c r="H52" s="184">
        <f>814837.68/1000</f>
        <v>814.83768000000009</v>
      </c>
      <c r="I52" s="182"/>
      <c r="J52" s="182"/>
      <c r="K52" s="182"/>
      <c r="L52" s="266"/>
      <c r="M52" s="184">
        <f>915060.65/1000</f>
        <v>915.06065000000001</v>
      </c>
      <c r="N52" s="184">
        <f>969541.2/1000</f>
        <v>969.5412</v>
      </c>
      <c r="O52" s="184">
        <f>938767/1000</f>
        <v>938.76700000000005</v>
      </c>
      <c r="P52" s="185" t="s">
        <v>110</v>
      </c>
      <c r="Q52" s="261">
        <f>1003257/1000</f>
        <v>1003.2569999999999</v>
      </c>
      <c r="R52" s="267">
        <f>1120482/1000</f>
        <v>1120.482</v>
      </c>
      <c r="S52" s="268">
        <f>1195709/1000</f>
        <v>1195.7090000000001</v>
      </c>
      <c r="T52" s="239">
        <f>1461048/1000</f>
        <v>1461.048</v>
      </c>
      <c r="U52" s="239">
        <v>1825.4</v>
      </c>
      <c r="V52" s="269">
        <v>3146.8</v>
      </c>
      <c r="W52" s="269">
        <v>1870.8</v>
      </c>
      <c r="X52" s="194">
        <v>0</v>
      </c>
      <c r="Y52" s="194"/>
    </row>
    <row r="53" spans="2:25" ht="14.25" x14ac:dyDescent="0.2">
      <c r="B53" s="165"/>
      <c r="C53" s="177"/>
      <c r="D53" s="182"/>
      <c r="E53" s="182"/>
      <c r="F53" s="182"/>
      <c r="G53" s="182"/>
      <c r="H53" s="182"/>
      <c r="I53" s="182"/>
      <c r="J53" s="182"/>
      <c r="K53" s="182"/>
      <c r="L53" s="266"/>
      <c r="M53" s="266"/>
      <c r="N53" s="266"/>
      <c r="O53" s="266"/>
      <c r="P53" s="185"/>
      <c r="Q53" s="261"/>
      <c r="R53" s="270"/>
      <c r="S53" s="271"/>
      <c r="T53" s="226"/>
      <c r="U53" s="226"/>
      <c r="V53" s="272"/>
      <c r="W53" s="272"/>
      <c r="X53" s="272"/>
      <c r="Y53" s="272"/>
    </row>
    <row r="54" spans="2:25" ht="14.25" x14ac:dyDescent="0.2">
      <c r="B54" s="165"/>
      <c r="C54" s="181" t="s">
        <v>2</v>
      </c>
      <c r="D54" s="182">
        <f>823316</f>
        <v>823316</v>
      </c>
      <c r="E54" s="182">
        <f>763702.12</f>
        <v>763702.12</v>
      </c>
      <c r="F54" s="182">
        <f>733784.32</f>
        <v>733784.32</v>
      </c>
      <c r="G54" s="184">
        <f>781715/1000</f>
        <v>781.71500000000003</v>
      </c>
      <c r="H54" s="184">
        <f>1087818.12/1000</f>
        <v>1087.8181200000001</v>
      </c>
      <c r="I54" s="184"/>
      <c r="J54" s="184"/>
      <c r="K54" s="184"/>
      <c r="L54" s="273"/>
      <c r="M54" s="184">
        <f>1178963.85/1000</f>
        <v>1178.9638500000001</v>
      </c>
      <c r="N54" s="184">
        <f>1239882.45/1000</f>
        <v>1239.8824500000001</v>
      </c>
      <c r="O54" s="184">
        <f>1257240/1000</f>
        <v>1257.24</v>
      </c>
      <c r="P54" s="185" t="s">
        <v>110</v>
      </c>
      <c r="Q54" s="261">
        <f>1450838/1000</f>
        <v>1450.838</v>
      </c>
      <c r="R54" s="267">
        <f>1792739/1000</f>
        <v>1792.739</v>
      </c>
      <c r="S54" s="268">
        <f>2045975/1000</f>
        <v>2045.9749999999999</v>
      </c>
      <c r="T54" s="239">
        <f>2351423/1000</f>
        <v>2351.4229999999998</v>
      </c>
      <c r="U54" s="239">
        <v>2676.4</v>
      </c>
      <c r="V54" s="269">
        <v>3694.3</v>
      </c>
      <c r="W54" s="269">
        <v>2566.1</v>
      </c>
      <c r="X54" s="194">
        <v>0</v>
      </c>
      <c r="Y54" s="194"/>
    </row>
    <row r="55" spans="2:25" ht="14.25" x14ac:dyDescent="0.2">
      <c r="B55" s="165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48"/>
      <c r="Q55" s="275"/>
      <c r="R55" s="276"/>
      <c r="S55" s="277"/>
      <c r="T55" s="278"/>
      <c r="U55" s="278"/>
      <c r="V55" s="250"/>
      <c r="W55" s="250"/>
      <c r="X55" s="250"/>
      <c r="Y55" s="250"/>
    </row>
    <row r="56" spans="2:25" ht="14.25" x14ac:dyDescent="0.2">
      <c r="B56" s="165"/>
      <c r="C56" s="177" t="s">
        <v>205</v>
      </c>
      <c r="D56" s="259"/>
      <c r="E56" s="259"/>
      <c r="F56" s="259"/>
      <c r="G56" s="259"/>
      <c r="H56" s="259"/>
      <c r="I56" s="259"/>
      <c r="J56" s="259"/>
      <c r="K56" s="259"/>
      <c r="L56" s="171"/>
      <c r="M56" s="259"/>
      <c r="N56" s="259"/>
      <c r="O56" s="259"/>
      <c r="P56" s="185"/>
      <c r="Q56" s="252"/>
      <c r="R56" s="252"/>
      <c r="S56" s="252"/>
      <c r="T56" s="252"/>
      <c r="U56" s="252"/>
      <c r="V56" s="252"/>
      <c r="W56" s="252"/>
      <c r="X56" s="177"/>
      <c r="Y56" s="121"/>
    </row>
    <row r="57" spans="2:25" ht="14.25" x14ac:dyDescent="0.2">
      <c r="C57" s="121"/>
      <c r="D57" s="133"/>
      <c r="E57" s="133"/>
      <c r="F57" s="133"/>
      <c r="G57" s="133"/>
      <c r="H57" s="133"/>
      <c r="I57" s="133"/>
      <c r="J57" s="133"/>
      <c r="K57" s="133"/>
      <c r="L57" s="120"/>
      <c r="M57" s="133"/>
      <c r="N57" s="133"/>
      <c r="O57" s="133"/>
      <c r="P57" s="126"/>
      <c r="Q57" s="128"/>
      <c r="R57" s="128"/>
      <c r="S57" s="128"/>
      <c r="T57" s="128"/>
      <c r="U57" s="128"/>
      <c r="V57" s="128"/>
      <c r="W57" s="128"/>
      <c r="X57" s="121"/>
      <c r="Y57" s="121"/>
    </row>
    <row r="58" spans="2:25" ht="14.25" x14ac:dyDescent="0.2">
      <c r="C58" s="121"/>
      <c r="D58" s="133"/>
      <c r="E58" s="133"/>
      <c r="F58" s="133"/>
      <c r="G58" s="133"/>
      <c r="H58" s="133"/>
      <c r="I58" s="133"/>
      <c r="J58" s="133"/>
      <c r="K58" s="133"/>
      <c r="L58" s="120"/>
      <c r="M58" s="133"/>
      <c r="N58" s="133"/>
      <c r="O58" s="133"/>
      <c r="P58" s="126"/>
      <c r="Q58" s="128"/>
      <c r="R58" s="128"/>
      <c r="S58" s="128"/>
      <c r="T58" s="128"/>
      <c r="U58" s="128"/>
      <c r="V58" s="128"/>
      <c r="W58" s="128"/>
      <c r="X58" s="121"/>
      <c r="Y58" s="121"/>
    </row>
    <row r="59" spans="2:25" ht="14.25" x14ac:dyDescent="0.2">
      <c r="B59" s="134"/>
      <c r="C59" s="135"/>
      <c r="D59" s="133"/>
      <c r="E59" s="133"/>
      <c r="F59" s="133"/>
      <c r="G59" s="133"/>
      <c r="H59" s="133"/>
      <c r="I59" s="133"/>
      <c r="J59" s="133"/>
      <c r="K59" s="133"/>
      <c r="L59" s="120"/>
      <c r="M59" s="133"/>
      <c r="N59" s="133"/>
      <c r="O59" s="133"/>
      <c r="P59" s="126"/>
      <c r="Q59" s="128"/>
      <c r="R59" s="128"/>
      <c r="S59" s="128"/>
      <c r="T59" s="128"/>
      <c r="U59" s="128"/>
      <c r="V59" s="128"/>
      <c r="W59" s="128"/>
      <c r="X59" s="121"/>
      <c r="Y59" s="121"/>
    </row>
    <row r="60" spans="2:25" ht="14.25" x14ac:dyDescent="0.2">
      <c r="B60" s="134"/>
      <c r="C60" s="135"/>
      <c r="D60" s="133"/>
      <c r="E60" s="133"/>
      <c r="F60" s="133"/>
      <c r="G60" s="133"/>
      <c r="H60" s="133"/>
      <c r="I60" s="133"/>
      <c r="J60" s="133"/>
      <c r="K60" s="133"/>
      <c r="L60" s="120"/>
      <c r="M60" s="133"/>
      <c r="N60" s="133"/>
      <c r="O60" s="133"/>
      <c r="P60" s="126"/>
      <c r="Q60" s="128"/>
      <c r="R60" s="128"/>
      <c r="S60" s="128"/>
      <c r="T60" s="128"/>
      <c r="U60" s="128"/>
      <c r="V60" s="128"/>
      <c r="W60" s="128"/>
      <c r="X60" s="121"/>
      <c r="Y60" s="121"/>
    </row>
    <row r="61" spans="2:25" ht="14.25" x14ac:dyDescent="0.2">
      <c r="C61" s="130"/>
      <c r="D61" s="133"/>
      <c r="E61" s="133"/>
      <c r="F61" s="133"/>
      <c r="G61" s="133"/>
      <c r="H61" s="133"/>
      <c r="I61" s="133"/>
      <c r="J61" s="133"/>
      <c r="K61" s="133"/>
      <c r="L61" s="120"/>
      <c r="M61" s="133"/>
      <c r="N61" s="133"/>
      <c r="O61" s="133"/>
      <c r="P61" s="126"/>
      <c r="Q61" s="128"/>
      <c r="R61" s="128"/>
      <c r="S61" s="128"/>
      <c r="T61" s="128"/>
      <c r="U61" s="128"/>
      <c r="V61" s="128"/>
      <c r="W61" s="128"/>
      <c r="X61" s="121"/>
      <c r="Y61" s="121"/>
    </row>
    <row r="69" spans="2:35" x14ac:dyDescent="0.2">
      <c r="U69"/>
    </row>
    <row r="71" spans="2:35" ht="9" customHeight="1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spans="2:35" x14ac:dyDescent="0.2">
      <c r="B72" s="624">
        <v>33</v>
      </c>
      <c r="C72" s="624"/>
      <c r="D72" s="624"/>
      <c r="E72" s="624"/>
      <c r="F72" s="624"/>
      <c r="G72" s="624"/>
      <c r="H72" s="624"/>
      <c r="I72" s="624"/>
      <c r="J72" s="624"/>
      <c r="K72" s="624"/>
      <c r="L72" s="624"/>
      <c r="M72" s="624"/>
      <c r="N72" s="624"/>
      <c r="O72" s="624"/>
      <c r="P72" s="624"/>
      <c r="Q72" s="624"/>
      <c r="R72" s="624"/>
      <c r="S72" s="624"/>
      <c r="T72" s="624"/>
      <c r="U72" s="624"/>
      <c r="V72" s="624"/>
      <c r="W72" s="624"/>
      <c r="X72" s="624"/>
      <c r="Y72" s="18"/>
      <c r="Z72" s="136"/>
      <c r="AA72" s="136"/>
      <c r="AB72" s="136"/>
      <c r="AC72" s="136"/>
      <c r="AD72" s="136"/>
      <c r="AE72" s="136"/>
      <c r="AF72" s="136"/>
      <c r="AG72" s="136"/>
    </row>
    <row r="73" spans="2:35" ht="14.25" x14ac:dyDescent="0.2">
      <c r="C73" s="130"/>
      <c r="D73" s="133"/>
      <c r="E73" s="133"/>
      <c r="F73" s="133"/>
      <c r="G73" s="133"/>
      <c r="H73" s="133"/>
      <c r="I73" s="133"/>
      <c r="J73" s="133"/>
      <c r="K73" s="133"/>
      <c r="L73" s="120"/>
      <c r="M73" s="133"/>
      <c r="N73" s="133"/>
      <c r="O73" s="133"/>
      <c r="P73" s="126"/>
      <c r="Q73" s="128"/>
      <c r="R73" s="128"/>
      <c r="S73" s="128"/>
      <c r="T73" s="128"/>
      <c r="U73" s="128"/>
      <c r="V73" s="128"/>
      <c r="W73" s="128"/>
      <c r="X73" s="121"/>
      <c r="Y73" s="121"/>
    </row>
    <row r="74" spans="2:35" ht="14.25" x14ac:dyDescent="0.2">
      <c r="C74" s="130"/>
      <c r="D74" s="133"/>
      <c r="E74" s="133"/>
      <c r="F74" s="133"/>
      <c r="G74" s="133"/>
      <c r="H74" s="133"/>
      <c r="I74" s="133"/>
      <c r="J74" s="133"/>
      <c r="K74" s="133"/>
      <c r="L74" s="120"/>
      <c r="M74" s="133"/>
      <c r="N74" s="133"/>
      <c r="O74" s="133"/>
      <c r="P74" s="126"/>
      <c r="Q74" s="128"/>
      <c r="R74" s="128"/>
      <c r="S74" s="128"/>
      <c r="T74" s="128"/>
      <c r="U74" s="128"/>
      <c r="V74" s="128"/>
      <c r="W74" s="128"/>
      <c r="X74" s="121"/>
      <c r="Y74" s="121"/>
    </row>
    <row r="75" spans="2:35" ht="14.25" x14ac:dyDescent="0.2">
      <c r="B75" s="137"/>
      <c r="C75" s="130"/>
      <c r="D75" s="125"/>
      <c r="E75" s="125"/>
      <c r="F75" s="125"/>
      <c r="G75" s="125"/>
      <c r="H75" s="125"/>
      <c r="I75" s="125">
        <f>SUM(D53,D55)</f>
        <v>0</v>
      </c>
      <c r="J75" s="125">
        <f>SUM(E53,E55)</f>
        <v>0</v>
      </c>
      <c r="K75" s="125">
        <f>SUM(F53,F55)</f>
        <v>0</v>
      </c>
      <c r="L75" s="121"/>
      <c r="M75" s="122"/>
      <c r="N75" s="122"/>
      <c r="O75" s="121"/>
      <c r="P75" s="126"/>
      <c r="Q75" s="128"/>
      <c r="R75" s="128"/>
      <c r="S75" s="128"/>
      <c r="T75" s="128"/>
      <c r="U75" s="128"/>
      <c r="V75" s="128"/>
      <c r="W75" s="128"/>
      <c r="X75" s="121"/>
      <c r="Y75" s="121"/>
    </row>
    <row r="76" spans="2:35" ht="14.25" x14ac:dyDescent="0.2">
      <c r="B76" s="137"/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2"/>
      <c r="N76" s="122"/>
      <c r="O76" s="121"/>
      <c r="P76" s="126"/>
      <c r="Q76" s="128"/>
      <c r="R76" s="128"/>
      <c r="S76" s="128"/>
      <c r="T76" s="128"/>
      <c r="U76" s="128"/>
      <c r="V76" s="128"/>
      <c r="W76" s="128"/>
      <c r="X76" s="121"/>
      <c r="Y76" s="121"/>
    </row>
    <row r="77" spans="2:35" s="137" customFormat="1" ht="14.25" x14ac:dyDescent="0.2">
      <c r="C77" s="138" t="s">
        <v>6</v>
      </c>
      <c r="D77" s="139">
        <f t="shared" ref="D77:O77" si="10">D45+D50</f>
        <v>1437822</v>
      </c>
      <c r="E77" s="139">
        <f t="shared" si="10"/>
        <v>1313556.26</v>
      </c>
      <c r="F77" s="139">
        <f t="shared" si="10"/>
        <v>1304599.1599999999</v>
      </c>
      <c r="G77" s="139">
        <f t="shared" si="10"/>
        <v>1383.3630000000001</v>
      </c>
      <c r="H77" s="139">
        <f t="shared" si="10"/>
        <v>1902.6558000000002</v>
      </c>
      <c r="I77" s="139">
        <f t="shared" si="10"/>
        <v>0</v>
      </c>
      <c r="J77" s="139">
        <f t="shared" si="10"/>
        <v>0</v>
      </c>
      <c r="K77" s="139">
        <f t="shared" si="10"/>
        <v>0</v>
      </c>
      <c r="L77" s="139">
        <f t="shared" si="10"/>
        <v>0</v>
      </c>
      <c r="M77" s="139">
        <f t="shared" si="10"/>
        <v>2094.0245</v>
      </c>
      <c r="N77" s="139">
        <f t="shared" si="10"/>
        <v>2209.4236500000002</v>
      </c>
      <c r="O77" s="139">
        <f t="shared" si="10"/>
        <v>2196.0070000000001</v>
      </c>
      <c r="P77" s="126" t="s">
        <v>110</v>
      </c>
      <c r="Q77" s="126" t="s">
        <v>110</v>
      </c>
      <c r="R77" s="126" t="s">
        <v>110</v>
      </c>
      <c r="S77" s="126" t="s">
        <v>110</v>
      </c>
      <c r="T77" s="126"/>
      <c r="U77" s="126"/>
      <c r="V77" s="126"/>
      <c r="W77" s="126"/>
      <c r="X77" s="126" t="s">
        <v>110</v>
      </c>
      <c r="Y77" s="126"/>
    </row>
    <row r="78" spans="2:35" s="137" customFormat="1" ht="14.25" x14ac:dyDescent="0.2"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9"/>
      <c r="N78" s="129"/>
      <c r="O78" s="120"/>
      <c r="P78" s="126" t="s">
        <v>110</v>
      </c>
      <c r="Q78" s="126" t="s">
        <v>110</v>
      </c>
      <c r="R78" s="126" t="s">
        <v>110</v>
      </c>
      <c r="S78" s="126" t="s">
        <v>110</v>
      </c>
      <c r="T78" s="126"/>
      <c r="U78" s="126"/>
      <c r="V78" s="126"/>
      <c r="W78" s="126"/>
      <c r="X78" s="126" t="s">
        <v>110</v>
      </c>
      <c r="Y78" s="126"/>
    </row>
    <row r="79" spans="2:35" s="137" customFormat="1" ht="14.25" x14ac:dyDescent="0.2">
      <c r="C79" s="131" t="s">
        <v>1</v>
      </c>
      <c r="D79" s="139">
        <f t="shared" ref="D79:O79" si="11">D14+D52</f>
        <v>7656719.1500000004</v>
      </c>
      <c r="E79" s="139">
        <f t="shared" si="11"/>
        <v>6706557.6299999999</v>
      </c>
      <c r="F79" s="139">
        <f t="shared" si="11"/>
        <v>7604128.8200000003</v>
      </c>
      <c r="G79" s="139">
        <f t="shared" si="11"/>
        <v>7829.7480000000005</v>
      </c>
      <c r="H79" s="139">
        <f t="shared" si="11"/>
        <v>11534.875680000001</v>
      </c>
      <c r="I79" s="139">
        <f t="shared" si="11"/>
        <v>0</v>
      </c>
      <c r="J79" s="139">
        <f t="shared" si="11"/>
        <v>0</v>
      </c>
      <c r="K79" s="139">
        <f t="shared" si="11"/>
        <v>0</v>
      </c>
      <c r="L79" s="139">
        <f t="shared" si="11"/>
        <v>0</v>
      </c>
      <c r="M79" s="139">
        <f t="shared" si="11"/>
        <v>11442.88465</v>
      </c>
      <c r="N79" s="139">
        <f t="shared" si="11"/>
        <v>12624.050279999999</v>
      </c>
      <c r="O79" s="139">
        <f t="shared" si="11"/>
        <v>13110.682809999998</v>
      </c>
      <c r="P79" s="126" t="s">
        <v>110</v>
      </c>
      <c r="Q79" s="126" t="s">
        <v>110</v>
      </c>
      <c r="R79" s="126" t="s">
        <v>110</v>
      </c>
      <c r="S79" s="126" t="s">
        <v>110</v>
      </c>
      <c r="T79" s="126"/>
      <c r="U79" s="126"/>
      <c r="V79" s="126"/>
      <c r="W79" s="126"/>
      <c r="X79" s="126" t="s">
        <v>110</v>
      </c>
      <c r="Y79" s="126"/>
    </row>
    <row r="80" spans="2:35" s="137" customFormat="1" ht="14.25" x14ac:dyDescent="0.2">
      <c r="C80" s="131"/>
      <c r="D80" s="120"/>
      <c r="E80" s="120"/>
      <c r="F80" s="120"/>
      <c r="G80" s="120"/>
      <c r="H80" s="120"/>
      <c r="I80" s="120"/>
      <c r="J80" s="120"/>
      <c r="K80" s="120"/>
      <c r="L80" s="120"/>
      <c r="M80" s="129"/>
      <c r="N80" s="129"/>
      <c r="O80" s="120"/>
      <c r="P80" s="126" t="s">
        <v>110</v>
      </c>
      <c r="Q80" s="126" t="s">
        <v>110</v>
      </c>
      <c r="R80" s="126" t="s">
        <v>110</v>
      </c>
      <c r="S80" s="126" t="s">
        <v>110</v>
      </c>
      <c r="T80" s="126"/>
      <c r="U80" s="126"/>
      <c r="V80" s="126"/>
      <c r="W80" s="126"/>
      <c r="X80" s="126" t="s">
        <v>110</v>
      </c>
      <c r="Y80" s="126"/>
    </row>
    <row r="81" spans="2:25" ht="14.25" x14ac:dyDescent="0.2">
      <c r="B81" s="137"/>
      <c r="C81" s="131" t="s">
        <v>2</v>
      </c>
      <c r="D81" s="139">
        <f t="shared" ref="D81:O81" si="12">D28+D54</f>
        <v>7602527</v>
      </c>
      <c r="E81" s="139">
        <f t="shared" si="12"/>
        <v>7535940.1200000001</v>
      </c>
      <c r="F81" s="139">
        <f t="shared" si="12"/>
        <v>7286396.3200000003</v>
      </c>
      <c r="G81" s="139">
        <f t="shared" si="12"/>
        <v>7414.6990000000005</v>
      </c>
      <c r="H81" s="139">
        <f t="shared" si="12"/>
        <v>11125.905119999999</v>
      </c>
      <c r="I81" s="139" t="e">
        <f t="shared" si="12"/>
        <v>#REF!</v>
      </c>
      <c r="J81" s="139" t="e">
        <f t="shared" si="12"/>
        <v>#REF!</v>
      </c>
      <c r="K81" s="139" t="e">
        <f t="shared" si="12"/>
        <v>#REF!</v>
      </c>
      <c r="L81" s="139">
        <f t="shared" si="12"/>
        <v>0</v>
      </c>
      <c r="M81" s="139">
        <f t="shared" si="12"/>
        <v>11109.438849999999</v>
      </c>
      <c r="N81" s="139">
        <f t="shared" si="12"/>
        <v>12494.97753</v>
      </c>
      <c r="O81" s="139">
        <f t="shared" si="12"/>
        <v>11033.579</v>
      </c>
      <c r="P81" s="126" t="s">
        <v>110</v>
      </c>
      <c r="Q81" s="126" t="s">
        <v>110</v>
      </c>
      <c r="R81" s="126" t="s">
        <v>110</v>
      </c>
      <c r="S81" s="126" t="s">
        <v>110</v>
      </c>
      <c r="T81" s="126"/>
      <c r="U81" s="126"/>
      <c r="V81" s="126"/>
      <c r="W81" s="126"/>
      <c r="X81" s="126" t="s">
        <v>110</v>
      </c>
      <c r="Y81" s="126"/>
    </row>
    <row r="82" spans="2:25" ht="14.25" x14ac:dyDescent="0.2">
      <c r="B82" s="131"/>
      <c r="C82" s="131"/>
      <c r="D82" s="120"/>
      <c r="E82" s="120"/>
      <c r="F82" s="120"/>
      <c r="G82" s="120"/>
      <c r="H82" s="120"/>
      <c r="I82" s="120"/>
      <c r="J82" s="120"/>
      <c r="K82" s="120"/>
      <c r="L82" s="120"/>
      <c r="M82" s="129"/>
      <c r="N82" s="129"/>
      <c r="O82" s="121"/>
      <c r="P82" s="126" t="s">
        <v>110</v>
      </c>
      <c r="Q82" s="126" t="s">
        <v>110</v>
      </c>
      <c r="R82" s="126" t="s">
        <v>110</v>
      </c>
      <c r="S82" s="126" t="s">
        <v>110</v>
      </c>
      <c r="T82" s="126"/>
      <c r="U82" s="126"/>
      <c r="V82" s="126"/>
      <c r="W82" s="126"/>
      <c r="X82" s="126" t="s">
        <v>110</v>
      </c>
      <c r="Y82" s="126"/>
    </row>
    <row r="83" spans="2:25" ht="14.25" x14ac:dyDescent="0.2">
      <c r="B83" s="137"/>
      <c r="C83" s="131" t="s">
        <v>38</v>
      </c>
      <c r="D83" s="139">
        <f t="shared" ref="D83:O83" si="13">D39+D41</f>
        <v>2969987</v>
      </c>
      <c r="E83" s="139">
        <f t="shared" si="13"/>
        <v>3058750</v>
      </c>
      <c r="F83" s="139">
        <f t="shared" si="13"/>
        <v>3009449</v>
      </c>
      <c r="G83" s="139">
        <f t="shared" si="13"/>
        <v>3103.3029999999999</v>
      </c>
      <c r="H83" s="139">
        <f t="shared" si="13"/>
        <v>3789.33</v>
      </c>
      <c r="I83" s="139">
        <f t="shared" si="13"/>
        <v>0</v>
      </c>
      <c r="J83" s="139">
        <f t="shared" si="13"/>
        <v>0</v>
      </c>
      <c r="K83" s="139">
        <f t="shared" si="13"/>
        <v>0</v>
      </c>
      <c r="L83" s="139">
        <f t="shared" si="13"/>
        <v>0</v>
      </c>
      <c r="M83" s="139">
        <f t="shared" si="13"/>
        <v>4038.998</v>
      </c>
      <c r="N83" s="139">
        <f t="shared" si="13"/>
        <v>4412.6729999999998</v>
      </c>
      <c r="O83" s="139">
        <f t="shared" si="13"/>
        <v>4813.8799999999992</v>
      </c>
      <c r="P83" s="126" t="s">
        <v>110</v>
      </c>
      <c r="Q83" s="126" t="s">
        <v>110</v>
      </c>
      <c r="R83" s="126" t="s">
        <v>110</v>
      </c>
      <c r="S83" s="126" t="s">
        <v>110</v>
      </c>
      <c r="T83" s="126"/>
      <c r="U83" s="126"/>
      <c r="V83" s="126"/>
      <c r="W83" s="126"/>
      <c r="X83" s="126" t="s">
        <v>110</v>
      </c>
      <c r="Y83" s="126"/>
    </row>
    <row r="84" spans="2:25" ht="14.25" x14ac:dyDescent="0.2">
      <c r="B84" s="140"/>
      <c r="C84" s="141"/>
      <c r="D84" s="132"/>
      <c r="E84" s="132"/>
      <c r="F84" s="132"/>
      <c r="G84" s="132"/>
      <c r="H84" s="132"/>
      <c r="I84" s="132"/>
      <c r="J84" s="132"/>
      <c r="K84" s="132"/>
      <c r="L84" s="132"/>
      <c r="M84" s="142"/>
      <c r="N84" s="142"/>
      <c r="O84" s="132"/>
      <c r="P84" s="132"/>
      <c r="Q84" s="143"/>
      <c r="R84" s="143"/>
      <c r="S84" s="143"/>
      <c r="T84" s="143"/>
      <c r="U84" s="143"/>
      <c r="V84" s="143"/>
      <c r="W84" s="143"/>
      <c r="X84" s="132"/>
      <c r="Y84" s="120"/>
    </row>
    <row r="85" spans="2:25" x14ac:dyDescent="0.2">
      <c r="C85" s="131"/>
      <c r="D85" s="123"/>
      <c r="E85" s="123"/>
      <c r="F85" s="123"/>
      <c r="G85" s="123"/>
      <c r="H85" s="123"/>
      <c r="I85" s="123" t="e">
        <f>SUM(I79:I83)</f>
        <v>#REF!</v>
      </c>
      <c r="J85" s="123" t="e">
        <f>SUM(J79:J83)</f>
        <v>#REF!</v>
      </c>
      <c r="K85" s="123" t="e">
        <f>SUM(K79:K83)</f>
        <v>#REF!</v>
      </c>
      <c r="L85" s="123">
        <f>SUM(L79:L83)</f>
        <v>0</v>
      </c>
      <c r="M85" s="123"/>
      <c r="N85" s="123"/>
      <c r="O85" s="123"/>
    </row>
  </sheetData>
  <mergeCells count="3">
    <mergeCell ref="N4:X4"/>
    <mergeCell ref="C8:X8"/>
    <mergeCell ref="B72:X72"/>
  </mergeCells>
  <phoneticPr fontId="0" type="noConversion"/>
  <pageMargins left="0.62" right="0.44" top="0.65" bottom="0.64" header="0.5" footer="0.5"/>
  <pageSetup scale="75" orientation="portrait" r:id="rId1"/>
  <headerFooter alignWithMargins="0"/>
  <ignoredErrors>
    <ignoredError sqref="W16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1331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47625</xdr:rowOff>
              </from>
              <to>
                <xdr:col>1</xdr:col>
                <xdr:colOff>228600</xdr:colOff>
                <xdr:row>1</xdr:row>
                <xdr:rowOff>19050</xdr:rowOff>
              </to>
            </anchor>
          </objectPr>
        </oleObject>
      </mc:Choice>
      <mc:Fallback>
        <oleObject progId="MSPhotoEd.3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4:S69"/>
  <sheetViews>
    <sheetView view="pageBreakPreview" topLeftCell="A7" zoomScaleNormal="90" zoomScaleSheetLayoutView="100" workbookViewId="0">
      <selection activeCell="K39" sqref="K39"/>
    </sheetView>
  </sheetViews>
  <sheetFormatPr defaultRowHeight="12.75" outlineLevelRow="1" x14ac:dyDescent="0.2"/>
  <cols>
    <col min="1" max="1" width="6.42578125" customWidth="1"/>
    <col min="2" max="2" width="42.85546875" customWidth="1"/>
    <col min="3" max="4" width="9.85546875" hidden="1" customWidth="1"/>
    <col min="5" max="5" width="10.85546875" hidden="1" customWidth="1"/>
    <col min="6" max="6" width="11.7109375" hidden="1" customWidth="1"/>
    <col min="7" max="8" width="9.7109375" customWidth="1"/>
    <col min="9" max="9" width="1.42578125" customWidth="1"/>
    <col min="10" max="11" width="10.140625" customWidth="1"/>
    <col min="12" max="12" width="10.85546875" customWidth="1"/>
  </cols>
  <sheetData>
    <row r="4" spans="1:16" ht="15" x14ac:dyDescent="0.25">
      <c r="C4" s="627" t="s">
        <v>207</v>
      </c>
      <c r="D4" s="627"/>
      <c r="E4" s="627"/>
      <c r="F4" s="627"/>
      <c r="G4" s="627"/>
      <c r="H4" s="627"/>
      <c r="I4" s="627"/>
      <c r="J4" s="627"/>
      <c r="K4" s="627"/>
      <c r="L4" s="627"/>
    </row>
    <row r="5" spans="1:16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6" ht="12.75" customHeight="1" x14ac:dyDescent="0.2">
      <c r="B7" s="24"/>
    </row>
    <row r="8" spans="1:16" ht="15.75" x14ac:dyDescent="0.25">
      <c r="A8" s="44" t="s">
        <v>209</v>
      </c>
      <c r="B8" s="625" t="s">
        <v>212</v>
      </c>
      <c r="C8" s="626"/>
      <c r="D8" s="626"/>
      <c r="E8" s="626"/>
      <c r="F8" s="626"/>
      <c r="G8" s="626"/>
      <c r="H8" s="626"/>
      <c r="I8" s="626"/>
      <c r="J8" s="626"/>
      <c r="K8" s="626"/>
      <c r="L8" s="626"/>
    </row>
    <row r="9" spans="1:16" ht="12.75" customHeight="1" x14ac:dyDescent="0.25">
      <c r="A9" s="31"/>
      <c r="B9" s="13"/>
    </row>
    <row r="10" spans="1:16" x14ac:dyDescent="0.2">
      <c r="I10" s="2"/>
      <c r="J10" s="2"/>
      <c r="K10" s="2"/>
      <c r="L10" s="2"/>
      <c r="M10" s="19"/>
    </row>
    <row r="11" spans="1:16" x14ac:dyDescent="0.2">
      <c r="B11" s="8" t="s">
        <v>129</v>
      </c>
      <c r="C11" s="43">
        <v>2003</v>
      </c>
      <c r="D11" s="43">
        <v>2004</v>
      </c>
      <c r="E11" s="43">
        <v>2005</v>
      </c>
      <c r="F11" s="43">
        <v>2006</v>
      </c>
      <c r="G11" s="45">
        <v>2007</v>
      </c>
      <c r="H11" s="45">
        <v>2008</v>
      </c>
      <c r="I11" s="113"/>
      <c r="J11" s="112">
        <v>2009</v>
      </c>
      <c r="K11" s="112">
        <v>2010</v>
      </c>
      <c r="L11" s="112">
        <v>2011</v>
      </c>
      <c r="M11" s="43">
        <v>2012</v>
      </c>
      <c r="N11" s="64"/>
      <c r="O11" s="64"/>
      <c r="P11" s="64"/>
    </row>
    <row r="12" spans="1:16" x14ac:dyDescent="0.2">
      <c r="N12" s="19"/>
    </row>
    <row r="13" spans="1:16" ht="14.25" x14ac:dyDescent="0.2">
      <c r="B13" s="5" t="s">
        <v>130</v>
      </c>
      <c r="C13" s="23">
        <f t="shared" ref="C13:L13" si="0">SUM(C14:C15)</f>
        <v>24</v>
      </c>
      <c r="D13" s="23">
        <f t="shared" si="0"/>
        <v>41</v>
      </c>
      <c r="E13" s="23">
        <f t="shared" si="0"/>
        <v>61</v>
      </c>
      <c r="F13" s="23">
        <f t="shared" si="0"/>
        <v>81</v>
      </c>
      <c r="G13" s="23">
        <f t="shared" si="0"/>
        <v>115</v>
      </c>
      <c r="H13" s="23">
        <f t="shared" si="0"/>
        <v>135</v>
      </c>
      <c r="I13" s="94"/>
      <c r="J13" s="23">
        <f>SUM(J14:J15)</f>
        <v>91</v>
      </c>
      <c r="K13" s="23">
        <f>SUM(K14:K15)</f>
        <v>130</v>
      </c>
      <c r="L13" s="23">
        <f t="shared" si="0"/>
        <v>128</v>
      </c>
      <c r="M13" s="23"/>
      <c r="N13" s="19"/>
    </row>
    <row r="14" spans="1:16" ht="14.25" x14ac:dyDescent="0.2">
      <c r="B14" s="53" t="s">
        <v>131</v>
      </c>
      <c r="C14" s="22">
        <v>14</v>
      </c>
      <c r="D14" s="22">
        <v>25</v>
      </c>
      <c r="E14" s="22">
        <v>37</v>
      </c>
      <c r="F14" s="22">
        <v>49</v>
      </c>
      <c r="G14" s="22">
        <v>69</v>
      </c>
      <c r="H14" s="22">
        <v>60</v>
      </c>
      <c r="I14" s="94"/>
      <c r="J14" s="22">
        <v>42</v>
      </c>
      <c r="K14" s="22">
        <v>58</v>
      </c>
      <c r="L14" s="22">
        <v>47</v>
      </c>
      <c r="M14" s="22"/>
      <c r="N14" s="19"/>
    </row>
    <row r="15" spans="1:16" ht="14.25" x14ac:dyDescent="0.2">
      <c r="B15" s="53" t="s">
        <v>132</v>
      </c>
      <c r="C15" s="22">
        <v>10</v>
      </c>
      <c r="D15" s="22">
        <v>16</v>
      </c>
      <c r="E15" s="22">
        <v>24</v>
      </c>
      <c r="F15" s="22">
        <v>32</v>
      </c>
      <c r="G15" s="22">
        <v>46</v>
      </c>
      <c r="H15" s="22">
        <v>75</v>
      </c>
      <c r="I15" s="94"/>
      <c r="J15" s="22">
        <v>49</v>
      </c>
      <c r="K15" s="22">
        <v>72</v>
      </c>
      <c r="L15" s="22">
        <v>81</v>
      </c>
      <c r="M15" s="22"/>
      <c r="N15" s="19"/>
    </row>
    <row r="16" spans="1:16" x14ac:dyDescent="0.2">
      <c r="B16" s="3"/>
      <c r="C16" s="22"/>
      <c r="D16" s="22"/>
      <c r="E16" s="22"/>
      <c r="F16" s="22"/>
      <c r="G16" s="22"/>
      <c r="H16" s="22"/>
      <c r="I16" s="22"/>
      <c r="N16" s="19"/>
    </row>
    <row r="17" spans="2:17" ht="14.25" x14ac:dyDescent="0.2">
      <c r="B17" s="4" t="s">
        <v>120</v>
      </c>
      <c r="C17" s="23">
        <f t="shared" ref="C17:H17" si="1">SUM(C18:C19)</f>
        <v>600</v>
      </c>
      <c r="D17" s="23">
        <f t="shared" si="1"/>
        <v>604</v>
      </c>
      <c r="E17" s="23">
        <f t="shared" si="1"/>
        <v>576</v>
      </c>
      <c r="F17" s="23">
        <f t="shared" si="1"/>
        <v>642</v>
      </c>
      <c r="G17" s="23">
        <f t="shared" si="1"/>
        <v>814</v>
      </c>
      <c r="H17" s="23">
        <f t="shared" si="1"/>
        <v>742</v>
      </c>
      <c r="I17" s="94"/>
      <c r="J17" s="23">
        <f>SUM(J18:J19)</f>
        <v>837</v>
      </c>
      <c r="K17" s="23">
        <f>SUM(K18:K19)</f>
        <v>788</v>
      </c>
      <c r="L17" s="23">
        <f>SUM(L18:L19)</f>
        <v>772</v>
      </c>
      <c r="M17" s="23"/>
      <c r="N17" s="19"/>
    </row>
    <row r="18" spans="2:17" ht="14.25" x14ac:dyDescent="0.2">
      <c r="B18" s="53" t="s">
        <v>131</v>
      </c>
      <c r="C18" s="22">
        <v>390</v>
      </c>
      <c r="D18" s="22">
        <v>374</v>
      </c>
      <c r="E18" s="22">
        <v>340</v>
      </c>
      <c r="F18" s="22">
        <v>347</v>
      </c>
      <c r="G18" s="22">
        <v>342</v>
      </c>
      <c r="H18" s="22">
        <v>306</v>
      </c>
      <c r="I18" s="94"/>
      <c r="J18" s="22">
        <v>342</v>
      </c>
      <c r="K18" s="22">
        <v>340</v>
      </c>
      <c r="L18" s="22">
        <v>298</v>
      </c>
      <c r="M18" s="22"/>
      <c r="N18" s="19"/>
    </row>
    <row r="19" spans="2:17" ht="14.25" x14ac:dyDescent="0.2">
      <c r="B19" s="53" t="s">
        <v>132</v>
      </c>
      <c r="C19" s="22">
        <v>210</v>
      </c>
      <c r="D19" s="22">
        <v>230</v>
      </c>
      <c r="E19" s="22">
        <v>236</v>
      </c>
      <c r="F19" s="22">
        <v>295</v>
      </c>
      <c r="G19" s="22">
        <v>472</v>
      </c>
      <c r="H19" s="22">
        <v>436</v>
      </c>
      <c r="I19" s="94"/>
      <c r="J19" s="22">
        <v>495</v>
      </c>
      <c r="K19" s="22">
        <v>448</v>
      </c>
      <c r="L19" s="22">
        <v>474</v>
      </c>
      <c r="M19" s="22"/>
      <c r="N19" s="19"/>
    </row>
    <row r="20" spans="2:17" x14ac:dyDescent="0.2">
      <c r="B20" s="153" t="s">
        <v>219</v>
      </c>
      <c r="C20" s="22"/>
      <c r="D20" s="22"/>
      <c r="E20" s="22"/>
      <c r="F20" s="22"/>
      <c r="G20" s="22"/>
      <c r="H20" s="22"/>
      <c r="I20" s="22"/>
      <c r="N20" s="19"/>
      <c r="Q20" s="4"/>
    </row>
    <row r="21" spans="2:17" x14ac:dyDescent="0.2">
      <c r="B21" s="53"/>
      <c r="C21" s="22"/>
      <c r="D21" s="22"/>
      <c r="E21" s="22"/>
      <c r="F21" s="22"/>
      <c r="G21" s="22"/>
      <c r="H21" s="22"/>
      <c r="I21" s="22"/>
      <c r="N21" s="19"/>
      <c r="Q21" s="4"/>
    </row>
    <row r="22" spans="2:17" ht="14.25" x14ac:dyDescent="0.2">
      <c r="B22" s="70" t="s">
        <v>162</v>
      </c>
      <c r="C22" s="23">
        <f t="shared" ref="C22:H22" si="2">SUM(C23:C34)</f>
        <v>95</v>
      </c>
      <c r="D22" s="23">
        <f t="shared" si="2"/>
        <v>78</v>
      </c>
      <c r="E22" s="23">
        <f t="shared" si="2"/>
        <v>92</v>
      </c>
      <c r="F22" s="23">
        <f t="shared" si="2"/>
        <v>93</v>
      </c>
      <c r="G22" s="111">
        <f t="shared" si="2"/>
        <v>232</v>
      </c>
      <c r="H22" s="23">
        <f t="shared" si="2"/>
        <v>102</v>
      </c>
      <c r="I22" s="23"/>
      <c r="J22" s="23">
        <f>SUM(J23:J34)</f>
        <v>75</v>
      </c>
      <c r="K22" s="23">
        <f>SUM(K23:K34)</f>
        <v>68</v>
      </c>
      <c r="L22" s="23">
        <f>SUM(L23:L32)</f>
        <v>67</v>
      </c>
      <c r="M22" s="23"/>
      <c r="N22" s="62"/>
    </row>
    <row r="23" spans="2:17" x14ac:dyDescent="0.2">
      <c r="B23" s="53" t="s">
        <v>121</v>
      </c>
      <c r="C23" s="22">
        <v>21</v>
      </c>
      <c r="D23" s="22">
        <v>15</v>
      </c>
      <c r="E23" s="22">
        <v>21</v>
      </c>
      <c r="F23" s="22">
        <v>23</v>
      </c>
      <c r="G23" s="22">
        <v>46</v>
      </c>
      <c r="H23" s="22">
        <v>16</v>
      </c>
      <c r="I23" s="22"/>
      <c r="J23" s="22">
        <v>15</v>
      </c>
      <c r="K23" s="22">
        <v>8</v>
      </c>
      <c r="L23" s="22">
        <v>13</v>
      </c>
      <c r="M23" s="22"/>
      <c r="N23" s="62"/>
    </row>
    <row r="24" spans="2:17" hidden="1" x14ac:dyDescent="0.2">
      <c r="B24" s="52"/>
      <c r="C24" s="22"/>
      <c r="D24" s="22"/>
      <c r="E24" s="22"/>
      <c r="F24" s="22"/>
      <c r="G24" s="22"/>
      <c r="H24" s="22"/>
      <c r="I24" s="22"/>
      <c r="N24" s="62"/>
    </row>
    <row r="25" spans="2:17" hidden="1" x14ac:dyDescent="0.2">
      <c r="B25" s="52"/>
      <c r="C25" s="22"/>
      <c r="D25" s="22"/>
      <c r="E25" s="22"/>
      <c r="F25" s="22"/>
      <c r="G25" s="22"/>
      <c r="H25" s="22"/>
      <c r="I25" s="22"/>
      <c r="N25" s="62"/>
    </row>
    <row r="26" spans="2:17" x14ac:dyDescent="0.2">
      <c r="B26" s="53" t="s">
        <v>122</v>
      </c>
      <c r="C26" s="22">
        <v>16</v>
      </c>
      <c r="D26" s="22">
        <v>17</v>
      </c>
      <c r="E26" s="22">
        <v>18</v>
      </c>
      <c r="F26" s="22">
        <v>22</v>
      </c>
      <c r="G26" s="22">
        <v>38</v>
      </c>
      <c r="H26" s="22">
        <v>14</v>
      </c>
      <c r="I26" s="22"/>
      <c r="J26" s="22">
        <v>11</v>
      </c>
      <c r="K26" s="22">
        <v>14</v>
      </c>
      <c r="L26" s="22">
        <v>15</v>
      </c>
      <c r="M26" s="22"/>
      <c r="N26" s="62"/>
    </row>
    <row r="27" spans="2:17" x14ac:dyDescent="0.2">
      <c r="B27" s="53" t="s">
        <v>123</v>
      </c>
      <c r="C27" s="22">
        <v>0</v>
      </c>
      <c r="D27" s="22">
        <v>0</v>
      </c>
      <c r="E27" s="22">
        <v>19</v>
      </c>
      <c r="F27" s="22">
        <v>14</v>
      </c>
      <c r="G27" s="22">
        <v>39</v>
      </c>
      <c r="H27" s="22">
        <v>19</v>
      </c>
      <c r="I27" s="22"/>
      <c r="J27" s="22" t="s">
        <v>109</v>
      </c>
      <c r="K27" s="22" t="s">
        <v>109</v>
      </c>
      <c r="L27" s="22">
        <v>12</v>
      </c>
      <c r="M27" s="22"/>
      <c r="N27" s="62"/>
    </row>
    <row r="28" spans="2:17" hidden="1" x14ac:dyDescent="0.2">
      <c r="B28" s="52"/>
      <c r="C28" s="22"/>
      <c r="D28" s="22"/>
      <c r="E28" s="22"/>
      <c r="F28" s="22"/>
      <c r="G28" s="22"/>
      <c r="H28" s="22"/>
      <c r="I28" s="22"/>
      <c r="N28" s="62"/>
    </row>
    <row r="29" spans="2:17" hidden="1" x14ac:dyDescent="0.2">
      <c r="B29" s="52"/>
      <c r="C29" s="22"/>
      <c r="D29" s="22"/>
      <c r="E29" s="22"/>
      <c r="F29" s="22"/>
      <c r="G29" s="22"/>
      <c r="H29" s="22"/>
      <c r="I29" s="22"/>
      <c r="N29" s="62"/>
    </row>
    <row r="30" spans="2:17" x14ac:dyDescent="0.2">
      <c r="B30" s="53" t="s">
        <v>124</v>
      </c>
      <c r="C30" s="22">
        <v>19</v>
      </c>
      <c r="D30" s="22">
        <v>15</v>
      </c>
      <c r="E30" s="22">
        <v>7</v>
      </c>
      <c r="F30" s="22">
        <v>13</v>
      </c>
      <c r="G30" s="22">
        <v>44</v>
      </c>
      <c r="H30" s="22">
        <v>16</v>
      </c>
      <c r="I30" s="22"/>
      <c r="J30" s="22">
        <v>16</v>
      </c>
      <c r="K30" s="22">
        <v>17</v>
      </c>
      <c r="L30" s="22">
        <v>10</v>
      </c>
      <c r="M30" s="22"/>
      <c r="N30" s="62"/>
    </row>
    <row r="31" spans="2:17" hidden="1" x14ac:dyDescent="0.2">
      <c r="B31" s="6" t="s">
        <v>25</v>
      </c>
      <c r="C31" s="22"/>
      <c r="D31" s="22"/>
      <c r="E31" s="22"/>
      <c r="F31" s="22"/>
      <c r="G31" s="22"/>
      <c r="H31" s="22"/>
      <c r="I31" s="22"/>
      <c r="L31" s="22">
        <v>7</v>
      </c>
      <c r="N31" s="62"/>
    </row>
    <row r="32" spans="2:17" hidden="1" x14ac:dyDescent="0.2">
      <c r="B32" s="6" t="s">
        <v>26</v>
      </c>
      <c r="C32" s="22"/>
      <c r="D32" s="22"/>
      <c r="E32" s="22"/>
      <c r="F32" s="22"/>
      <c r="G32" s="22"/>
      <c r="H32" s="22"/>
      <c r="I32" s="22"/>
      <c r="L32" s="22">
        <v>10</v>
      </c>
      <c r="N32" s="62"/>
    </row>
    <row r="33" spans="2:14" x14ac:dyDescent="0.2">
      <c r="B33" s="53" t="s">
        <v>36</v>
      </c>
      <c r="C33" s="22">
        <v>17</v>
      </c>
      <c r="D33" s="22">
        <v>15</v>
      </c>
      <c r="E33" s="22">
        <v>17</v>
      </c>
      <c r="F33" s="22">
        <v>21</v>
      </c>
      <c r="G33" s="22">
        <v>50</v>
      </c>
      <c r="H33" s="22">
        <v>31</v>
      </c>
      <c r="I33" s="22"/>
      <c r="J33" s="22">
        <v>20</v>
      </c>
      <c r="K33" s="22">
        <v>21</v>
      </c>
      <c r="L33" s="284">
        <v>7</v>
      </c>
      <c r="M33" s="22"/>
      <c r="N33" s="62"/>
    </row>
    <row r="34" spans="2:14" x14ac:dyDescent="0.2">
      <c r="B34" s="53" t="s">
        <v>133</v>
      </c>
      <c r="C34" s="22">
        <v>22</v>
      </c>
      <c r="D34" s="22">
        <v>16</v>
      </c>
      <c r="E34" s="22">
        <v>10</v>
      </c>
      <c r="F34" s="22" t="s">
        <v>109</v>
      </c>
      <c r="G34" s="22">
        <v>15</v>
      </c>
      <c r="H34" s="22">
        <v>6</v>
      </c>
      <c r="I34" s="22"/>
      <c r="J34" s="22">
        <v>13</v>
      </c>
      <c r="K34" s="22">
        <v>8</v>
      </c>
      <c r="L34" s="284">
        <v>10</v>
      </c>
      <c r="M34" s="22"/>
      <c r="N34" s="62"/>
    </row>
    <row r="35" spans="2:14" x14ac:dyDescent="0.2">
      <c r="B35" s="153" t="s">
        <v>180</v>
      </c>
      <c r="C35" s="22"/>
      <c r="D35" s="22"/>
      <c r="E35" s="22"/>
      <c r="F35" s="22"/>
      <c r="G35" s="22"/>
      <c r="H35" s="22"/>
      <c r="I35" s="22"/>
      <c r="J35" s="22"/>
      <c r="K35" s="22"/>
      <c r="M35" s="22"/>
      <c r="N35" s="62"/>
    </row>
    <row r="36" spans="2:14" x14ac:dyDescent="0.2">
      <c r="B36" s="18"/>
      <c r="N36" s="62"/>
    </row>
    <row r="37" spans="2:14" ht="14.25" x14ac:dyDescent="0.2">
      <c r="B37" s="36" t="s">
        <v>163</v>
      </c>
      <c r="C37" s="23">
        <f t="shared" ref="C37:L37" si="3">SUM(C38:C43)</f>
        <v>46</v>
      </c>
      <c r="D37" s="23">
        <f t="shared" si="3"/>
        <v>63</v>
      </c>
      <c r="E37" s="23">
        <f t="shared" si="3"/>
        <v>41</v>
      </c>
      <c r="F37" s="23">
        <f t="shared" si="3"/>
        <v>60</v>
      </c>
      <c r="G37" s="23">
        <f t="shared" si="3"/>
        <v>58</v>
      </c>
      <c r="H37" s="23">
        <f>SUM(H38:H43)</f>
        <v>34</v>
      </c>
      <c r="I37" s="23"/>
      <c r="J37" s="23">
        <f>SUM(J38:J43)</f>
        <v>12</v>
      </c>
      <c r="K37" s="23">
        <f>SUM(K38:K43)</f>
        <v>33</v>
      </c>
      <c r="L37" s="23">
        <f t="shared" si="3"/>
        <v>39</v>
      </c>
      <c r="M37" s="23"/>
      <c r="N37" s="62"/>
    </row>
    <row r="38" spans="2:14" x14ac:dyDescent="0.2">
      <c r="B38" s="53" t="s">
        <v>125</v>
      </c>
      <c r="C38" s="22">
        <v>7</v>
      </c>
      <c r="D38" s="22">
        <v>22</v>
      </c>
      <c r="E38" s="22">
        <v>11</v>
      </c>
      <c r="F38" s="22">
        <v>11</v>
      </c>
      <c r="G38" s="22">
        <v>16</v>
      </c>
      <c r="H38" s="22">
        <v>3</v>
      </c>
      <c r="I38" s="22"/>
      <c r="J38" s="22" t="s">
        <v>109</v>
      </c>
      <c r="K38" s="22" t="s">
        <v>109</v>
      </c>
      <c r="L38" s="22" t="s">
        <v>109</v>
      </c>
      <c r="M38" s="22"/>
      <c r="N38" s="62"/>
    </row>
    <row r="39" spans="2:14" x14ac:dyDescent="0.2">
      <c r="B39" s="53" t="s">
        <v>134</v>
      </c>
      <c r="C39" s="22">
        <v>16</v>
      </c>
      <c r="D39" s="22">
        <v>11</v>
      </c>
      <c r="E39" s="22">
        <v>8</v>
      </c>
      <c r="F39" s="22">
        <v>8</v>
      </c>
      <c r="G39" s="22">
        <v>1</v>
      </c>
      <c r="H39" s="22" t="s">
        <v>109</v>
      </c>
      <c r="I39" s="110"/>
      <c r="J39" s="22" t="s">
        <v>109</v>
      </c>
      <c r="K39" s="22" t="s">
        <v>109</v>
      </c>
      <c r="L39" s="22" t="s">
        <v>109</v>
      </c>
      <c r="M39" s="22"/>
      <c r="N39" s="62"/>
    </row>
    <row r="40" spans="2:14" x14ac:dyDescent="0.2">
      <c r="B40" s="53" t="s">
        <v>126</v>
      </c>
      <c r="C40" s="22">
        <v>0</v>
      </c>
      <c r="D40" s="22">
        <v>3</v>
      </c>
      <c r="E40" s="22">
        <v>0</v>
      </c>
      <c r="F40" s="22">
        <v>13</v>
      </c>
      <c r="G40" s="22">
        <v>4</v>
      </c>
      <c r="H40" s="22">
        <v>10</v>
      </c>
      <c r="I40" s="22"/>
      <c r="J40" s="22" t="s">
        <v>109</v>
      </c>
      <c r="K40" s="22">
        <v>4</v>
      </c>
      <c r="L40" s="22">
        <v>10</v>
      </c>
      <c r="M40" s="22"/>
      <c r="N40" s="62"/>
    </row>
    <row r="41" spans="2:14" x14ac:dyDescent="0.2">
      <c r="B41" s="53" t="s">
        <v>127</v>
      </c>
      <c r="C41" s="22">
        <v>13</v>
      </c>
      <c r="D41" s="22">
        <v>17</v>
      </c>
      <c r="E41" s="22">
        <v>18</v>
      </c>
      <c r="F41" s="22">
        <v>24</v>
      </c>
      <c r="G41" s="22">
        <v>37</v>
      </c>
      <c r="H41" s="22">
        <v>16</v>
      </c>
      <c r="I41" s="22"/>
      <c r="J41" s="22">
        <v>12</v>
      </c>
      <c r="K41" s="22">
        <v>29</v>
      </c>
      <c r="L41" s="22">
        <v>29</v>
      </c>
      <c r="M41" s="22"/>
      <c r="N41" s="62"/>
    </row>
    <row r="42" spans="2:14" x14ac:dyDescent="0.2">
      <c r="B42" s="53" t="s">
        <v>128</v>
      </c>
      <c r="C42" s="22">
        <v>10</v>
      </c>
      <c r="D42" s="22">
        <v>10</v>
      </c>
      <c r="E42" s="22">
        <v>4</v>
      </c>
      <c r="F42" s="22" t="s">
        <v>109</v>
      </c>
      <c r="G42" s="22" t="s">
        <v>109</v>
      </c>
      <c r="H42" s="22">
        <v>5</v>
      </c>
      <c r="I42" s="22"/>
      <c r="J42" s="22" t="s">
        <v>109</v>
      </c>
      <c r="K42" s="22" t="s">
        <v>109</v>
      </c>
      <c r="L42" s="22" t="s">
        <v>109</v>
      </c>
      <c r="M42" s="22"/>
      <c r="N42" s="62"/>
    </row>
    <row r="43" spans="2:14" x14ac:dyDescent="0.2">
      <c r="B43" s="53"/>
      <c r="C43" s="22">
        <v>0</v>
      </c>
      <c r="D43" s="22">
        <v>0</v>
      </c>
      <c r="E43" s="22">
        <v>0</v>
      </c>
      <c r="F43" s="22">
        <v>4</v>
      </c>
      <c r="G43" s="22" t="s">
        <v>109</v>
      </c>
      <c r="H43" s="22" t="s">
        <v>109</v>
      </c>
      <c r="I43" s="22"/>
      <c r="N43" s="62"/>
    </row>
    <row r="44" spans="2:14" x14ac:dyDescent="0.2">
      <c r="B44" s="53"/>
      <c r="C44" s="22"/>
      <c r="D44" s="22"/>
      <c r="E44" s="22"/>
      <c r="F44" s="22"/>
      <c r="G44" s="22"/>
      <c r="H44" s="22"/>
      <c r="I44" s="22"/>
      <c r="N44" s="62"/>
    </row>
    <row r="45" spans="2:14" ht="14.25" x14ac:dyDescent="0.2">
      <c r="B45" s="96" t="s">
        <v>164</v>
      </c>
      <c r="C45" s="22"/>
      <c r="D45" s="22"/>
      <c r="E45" s="22"/>
      <c r="F45" s="22"/>
      <c r="G45" s="22"/>
      <c r="H45" s="23">
        <f>SUM(H46:H49)</f>
        <v>83</v>
      </c>
      <c r="I45" s="23"/>
      <c r="J45" s="23">
        <f>SUM(J46:J49)</f>
        <v>136</v>
      </c>
      <c r="K45" s="23">
        <f>SUM(K46:K49)</f>
        <v>64</v>
      </c>
      <c r="L45" s="23">
        <f>SUM(L46:L49)</f>
        <v>27</v>
      </c>
      <c r="M45" s="23"/>
      <c r="N45" s="62"/>
    </row>
    <row r="46" spans="2:14" ht="14.25" x14ac:dyDescent="0.2">
      <c r="B46" s="53" t="s">
        <v>39</v>
      </c>
      <c r="C46" s="109" t="s">
        <v>108</v>
      </c>
      <c r="D46" s="109" t="s">
        <v>108</v>
      </c>
      <c r="E46" s="109" t="s">
        <v>108</v>
      </c>
      <c r="F46" s="109" t="s">
        <v>108</v>
      </c>
      <c r="G46" s="109" t="s">
        <v>108</v>
      </c>
      <c r="H46" s="22">
        <v>6</v>
      </c>
      <c r="I46" s="22"/>
      <c r="J46" s="22">
        <v>6</v>
      </c>
      <c r="K46" s="22">
        <v>9</v>
      </c>
      <c r="L46" s="22">
        <v>13</v>
      </c>
      <c r="M46" s="22"/>
      <c r="N46" s="62"/>
    </row>
    <row r="47" spans="2:14" ht="14.25" x14ac:dyDescent="0.2">
      <c r="B47" s="53" t="s">
        <v>141</v>
      </c>
      <c r="C47" s="109" t="s">
        <v>108</v>
      </c>
      <c r="D47" s="109" t="s">
        <v>108</v>
      </c>
      <c r="E47" s="109" t="s">
        <v>108</v>
      </c>
      <c r="F47" s="109" t="s">
        <v>108</v>
      </c>
      <c r="G47" s="109" t="s">
        <v>108</v>
      </c>
      <c r="H47" s="149">
        <v>8</v>
      </c>
      <c r="I47" s="22"/>
      <c r="J47" s="149">
        <v>12</v>
      </c>
      <c r="K47" s="149">
        <v>10</v>
      </c>
      <c r="L47" s="149">
        <v>0</v>
      </c>
      <c r="M47" s="149"/>
      <c r="N47" s="62"/>
    </row>
    <row r="48" spans="2:14" ht="14.25" x14ac:dyDescent="0.2">
      <c r="B48" s="53" t="s">
        <v>142</v>
      </c>
      <c r="C48" s="109" t="s">
        <v>108</v>
      </c>
      <c r="D48" s="109" t="s">
        <v>108</v>
      </c>
      <c r="E48" s="109" t="s">
        <v>108</v>
      </c>
      <c r="F48" s="109" t="s">
        <v>108</v>
      </c>
      <c r="G48" s="109" t="s">
        <v>108</v>
      </c>
      <c r="H48" s="22">
        <v>42</v>
      </c>
      <c r="I48" s="22"/>
      <c r="J48" s="22">
        <v>101</v>
      </c>
      <c r="K48" s="22">
        <v>30</v>
      </c>
      <c r="L48" s="22">
        <v>0</v>
      </c>
      <c r="M48" s="22"/>
    </row>
    <row r="49" spans="1:19" ht="14.25" x14ac:dyDescent="0.2">
      <c r="B49" s="53" t="s">
        <v>144</v>
      </c>
      <c r="C49" s="109" t="s">
        <v>108</v>
      </c>
      <c r="D49" s="109" t="s">
        <v>108</v>
      </c>
      <c r="E49" s="109" t="s">
        <v>108</v>
      </c>
      <c r="F49" s="109" t="s">
        <v>108</v>
      </c>
      <c r="G49" s="109" t="s">
        <v>108</v>
      </c>
      <c r="H49" s="22">
        <v>27</v>
      </c>
      <c r="I49" s="22"/>
      <c r="J49" s="22">
        <v>17</v>
      </c>
      <c r="K49" s="22">
        <v>15</v>
      </c>
      <c r="L49" s="22">
        <v>14</v>
      </c>
      <c r="M49" s="22"/>
      <c r="N49" s="98">
        <f>(C13+C17+C22+C37+C51)</f>
        <v>1694</v>
      </c>
      <c r="O49" s="98">
        <f>(D13+D17+D22+D37+D51)</f>
        <v>1558</v>
      </c>
      <c r="P49" s="98">
        <f>(E13+E17+E22+E37+E51)</f>
        <v>1313</v>
      </c>
      <c r="Q49" s="98">
        <f>(F13+F17+F22+F37+F51)</f>
        <v>1650</v>
      </c>
      <c r="R49" s="98">
        <f>(H13+H17+H22+H37+H51)</f>
        <v>1122</v>
      </c>
      <c r="S49" s="98" t="s">
        <v>24</v>
      </c>
    </row>
    <row r="50" spans="1:19" x14ac:dyDescent="0.2">
      <c r="N50" s="62"/>
      <c r="O50" s="99">
        <f>((O49-N49)/N49)*100</f>
        <v>-8.0283353010625742</v>
      </c>
      <c r="P50" s="99">
        <f>((P49-O49)/O49)*100</f>
        <v>-15.725288831835687</v>
      </c>
      <c r="Q50" s="99">
        <f>((Q49-P49)/P49)*100</f>
        <v>25.666412795125666</v>
      </c>
      <c r="R50" s="99">
        <f>((R49-Q49)/Q49)*100</f>
        <v>-32</v>
      </c>
      <c r="S50" t="s">
        <v>138</v>
      </c>
    </row>
    <row r="51" spans="1:19" ht="14.25" x14ac:dyDescent="0.2">
      <c r="B51" s="96" t="s">
        <v>165</v>
      </c>
      <c r="C51" s="22">
        <v>929</v>
      </c>
      <c r="D51" s="22">
        <v>772</v>
      </c>
      <c r="E51" s="22">
        <v>543</v>
      </c>
      <c r="F51" s="23">
        <v>774</v>
      </c>
      <c r="G51" s="23">
        <v>760</v>
      </c>
      <c r="H51" s="23">
        <v>109</v>
      </c>
      <c r="I51" s="146">
        <v>5</v>
      </c>
      <c r="J51" s="23">
        <v>144</v>
      </c>
      <c r="K51" s="23">
        <v>106</v>
      </c>
      <c r="L51" s="23">
        <v>101</v>
      </c>
      <c r="M51" s="23"/>
      <c r="N51" s="62"/>
    </row>
    <row r="52" spans="1:19" x14ac:dyDescent="0.2">
      <c r="B52" s="95"/>
      <c r="C52" s="93"/>
      <c r="D52" s="93"/>
      <c r="E52" s="93"/>
      <c r="F52" s="93"/>
      <c r="G52" s="71"/>
      <c r="H52" s="71"/>
      <c r="I52" s="71"/>
      <c r="J52" s="71"/>
      <c r="K52" s="2"/>
      <c r="L52" s="2"/>
      <c r="M52" s="2"/>
      <c r="N52" s="62"/>
    </row>
    <row r="53" spans="1:19" x14ac:dyDescent="0.2">
      <c r="B53" s="70" t="s">
        <v>118</v>
      </c>
      <c r="C53" s="97"/>
      <c r="D53" s="97"/>
      <c r="E53" s="97"/>
      <c r="F53" s="97"/>
      <c r="G53" s="73"/>
      <c r="H53" s="73"/>
      <c r="I53" s="73"/>
      <c r="J53" s="73"/>
      <c r="K53" s="73"/>
      <c r="L53" s="73"/>
      <c r="M53" s="62"/>
      <c r="N53" s="62"/>
    </row>
    <row r="54" spans="1:19" ht="14.25" x14ac:dyDescent="0.2">
      <c r="A54" s="57">
        <v>1</v>
      </c>
      <c r="B54" t="s">
        <v>152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62"/>
      <c r="N54" s="62"/>
    </row>
    <row r="55" spans="1:19" ht="14.25" x14ac:dyDescent="0.2">
      <c r="A55" s="57"/>
      <c r="B55" t="s">
        <v>151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62"/>
      <c r="N55" s="62"/>
    </row>
    <row r="56" spans="1:19" ht="14.25" x14ac:dyDescent="0.2">
      <c r="A56" s="57">
        <v>2</v>
      </c>
      <c r="B56" s="54" t="s">
        <v>135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62"/>
      <c r="N56" s="62"/>
    </row>
    <row r="57" spans="1:19" ht="14.25" x14ac:dyDescent="0.2">
      <c r="A57" s="57">
        <v>3</v>
      </c>
      <c r="B57" t="s">
        <v>146</v>
      </c>
      <c r="C57" s="65"/>
      <c r="D57" s="28"/>
      <c r="E57" s="28"/>
      <c r="F57" s="28"/>
      <c r="G57" s="28"/>
      <c r="H57" s="28"/>
      <c r="I57" s="28"/>
      <c r="J57" s="28"/>
      <c r="K57" s="28"/>
      <c r="L57" s="28"/>
      <c r="M57" s="62"/>
      <c r="N57" s="62"/>
      <c r="Q57" s="18"/>
    </row>
    <row r="58" spans="1:19" ht="26.25" customHeight="1" x14ac:dyDescent="0.2">
      <c r="A58" s="148">
        <v>4</v>
      </c>
      <c r="B58" s="628" t="s">
        <v>170</v>
      </c>
      <c r="C58" s="628"/>
      <c r="D58" s="628"/>
      <c r="E58" s="628"/>
      <c r="F58" s="628"/>
      <c r="G58" s="628"/>
      <c r="H58" s="628"/>
      <c r="I58" s="628"/>
      <c r="J58" s="628"/>
      <c r="K58" s="628"/>
      <c r="L58" s="628"/>
      <c r="M58" s="62"/>
      <c r="N58" s="62"/>
      <c r="Q58" s="18"/>
    </row>
    <row r="59" spans="1:19" ht="14.25" x14ac:dyDescent="0.2">
      <c r="A59" s="57">
        <v>5</v>
      </c>
      <c r="B59" s="15" t="s">
        <v>171</v>
      </c>
      <c r="D59" s="65"/>
      <c r="E59" s="65"/>
      <c r="F59" s="65"/>
      <c r="G59" s="65"/>
      <c r="H59" s="65"/>
      <c r="I59" s="65"/>
      <c r="J59" s="65"/>
      <c r="K59" s="65"/>
      <c r="L59" s="65"/>
      <c r="M59" s="62"/>
      <c r="N59" s="62"/>
    </row>
    <row r="60" spans="1:19" ht="14.25" x14ac:dyDescent="0.2">
      <c r="A60" s="57"/>
      <c r="C60" s="28"/>
      <c r="D60" s="28"/>
      <c r="E60" s="28"/>
      <c r="F60" s="28"/>
      <c r="G60" s="69"/>
      <c r="H60" s="69"/>
      <c r="I60" s="69"/>
      <c r="J60" s="69"/>
      <c r="K60" s="69"/>
      <c r="L60" s="69"/>
      <c r="M60" s="62"/>
      <c r="N60" s="62"/>
    </row>
    <row r="61" spans="1:19" x14ac:dyDescent="0.2">
      <c r="B61" s="151" t="s">
        <v>176</v>
      </c>
      <c r="C61" s="68"/>
      <c r="D61" s="68"/>
      <c r="G61" s="69"/>
      <c r="H61" s="69"/>
      <c r="I61" s="69"/>
      <c r="J61" s="69"/>
      <c r="K61" s="69"/>
      <c r="L61" s="69"/>
      <c r="M61" s="62"/>
      <c r="N61" s="62"/>
    </row>
    <row r="62" spans="1:19" x14ac:dyDescent="0.2">
      <c r="B62" s="59"/>
      <c r="C62" s="68"/>
      <c r="D62" s="68"/>
      <c r="G62" s="69"/>
      <c r="H62" s="69"/>
      <c r="I62" s="69"/>
      <c r="J62" s="69"/>
      <c r="K62" s="69"/>
      <c r="L62" s="69"/>
      <c r="M62" s="62"/>
      <c r="N62" s="62"/>
    </row>
    <row r="63" spans="1:19" x14ac:dyDescent="0.2">
      <c r="B63" s="59"/>
      <c r="C63" s="68"/>
      <c r="D63" s="68"/>
      <c r="G63" s="69"/>
      <c r="H63" s="69"/>
      <c r="I63" s="69"/>
      <c r="J63" s="69"/>
      <c r="K63" s="69"/>
      <c r="L63" s="69"/>
      <c r="M63" s="62"/>
      <c r="N63" s="62"/>
    </row>
    <row r="64" spans="1:19" ht="14.25" x14ac:dyDescent="0.2">
      <c r="C64" s="65"/>
      <c r="D64" s="65"/>
      <c r="E64" s="65"/>
      <c r="F64" s="65"/>
      <c r="G64" s="69"/>
      <c r="H64" s="69"/>
      <c r="I64" s="69"/>
      <c r="J64" s="69"/>
      <c r="K64" s="69"/>
      <c r="L64" s="69"/>
      <c r="M64" s="62"/>
      <c r="N64" s="62"/>
    </row>
    <row r="65" spans="1:14" x14ac:dyDescent="0.2">
      <c r="B65" s="18"/>
      <c r="C65" s="68"/>
      <c r="D65" s="68"/>
      <c r="M65" s="62"/>
      <c r="N65" s="62"/>
    </row>
    <row r="66" spans="1:14" outlineLevel="1" x14ac:dyDescent="0.2">
      <c r="M66" s="18"/>
    </row>
    <row r="67" spans="1:14" x14ac:dyDescent="0.2">
      <c r="A67" s="11"/>
      <c r="B67" s="11"/>
      <c r="C67" s="11"/>
      <c r="D67" s="11"/>
      <c r="E67" s="11"/>
      <c r="F67" s="37"/>
      <c r="G67" s="37"/>
      <c r="H67" s="37"/>
      <c r="I67" s="37"/>
      <c r="J67" s="37"/>
      <c r="K67" s="37"/>
      <c r="L67" s="37"/>
      <c r="M67" s="63"/>
      <c r="N67" s="63"/>
    </row>
    <row r="68" spans="1:14" s="58" customFormat="1" ht="9" customHeight="1" x14ac:dyDescent="0.2"/>
    <row r="69" spans="1:14" x14ac:dyDescent="0.2">
      <c r="A69" s="624" t="e">
        <f>'Rec Exp work(.05)'!B72:X72+1</f>
        <v>#VALUE!</v>
      </c>
      <c r="B69" s="624"/>
      <c r="C69" s="624"/>
      <c r="D69" s="624"/>
      <c r="E69" s="624"/>
      <c r="F69" s="624"/>
      <c r="G69" s="624"/>
      <c r="H69" s="624"/>
      <c r="I69" s="624"/>
      <c r="J69" s="624"/>
      <c r="K69" s="624"/>
      <c r="L69" s="624"/>
      <c r="M69" s="60"/>
    </row>
  </sheetData>
  <mergeCells count="4">
    <mergeCell ref="B8:L8"/>
    <mergeCell ref="A69:L69"/>
    <mergeCell ref="C4:L4"/>
    <mergeCell ref="B58:L58"/>
  </mergeCells>
  <phoneticPr fontId="0" type="noConversion"/>
  <pageMargins left="0.9" right="0.9" top="1" bottom="1" header="0.52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323850</xdr:colOff>
                <xdr:row>0</xdr:row>
                <xdr:rowOff>152400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4:T79"/>
  <sheetViews>
    <sheetView view="pageBreakPreview" zoomScaleNormal="90" workbookViewId="0">
      <selection activeCell="N11" sqref="N11"/>
    </sheetView>
  </sheetViews>
  <sheetFormatPr defaultRowHeight="12.75" outlineLevelRow="1" outlineLevelCol="1" x14ac:dyDescent="0.2"/>
  <cols>
    <col min="1" max="1" width="6.42578125" customWidth="1"/>
    <col min="2" max="2" width="37.42578125" customWidth="1"/>
    <col min="3" max="4" width="7.7109375" hidden="1" customWidth="1" outlineLevel="1"/>
    <col min="5" max="5" width="7.7109375" hidden="1" customWidth="1" collapsed="1"/>
    <col min="6" max="15" width="7.7109375" customWidth="1"/>
    <col min="16" max="16" width="7.42578125" customWidth="1"/>
  </cols>
  <sheetData>
    <row r="4" spans="1:18" ht="15" x14ac:dyDescent="0.25">
      <c r="K4" s="3"/>
      <c r="L4" s="3"/>
      <c r="M4" s="3"/>
      <c r="N4" s="3"/>
      <c r="O4" s="72" t="s">
        <v>111</v>
      </c>
    </row>
    <row r="5" spans="1:18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7" spans="1:18" ht="14.25" x14ac:dyDescent="0.2">
      <c r="B7" s="24"/>
    </row>
    <row r="8" spans="1:18" ht="18.75" x14ac:dyDescent="0.25">
      <c r="A8" s="31" t="s">
        <v>103</v>
      </c>
      <c r="B8" s="626" t="s">
        <v>136</v>
      </c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</row>
    <row r="9" spans="1:18" ht="15.75" x14ac:dyDescent="0.25">
      <c r="A9" s="31"/>
      <c r="B9" s="13"/>
      <c r="C9" s="13"/>
      <c r="D9" s="11"/>
      <c r="E9" s="11"/>
      <c r="F9" s="11"/>
      <c r="G9" s="11"/>
      <c r="H9" s="11"/>
    </row>
    <row r="10" spans="1:18" x14ac:dyDescent="0.2">
      <c r="P10" s="19"/>
      <c r="Q10" s="19"/>
    </row>
    <row r="11" spans="1:18" x14ac:dyDescent="0.2">
      <c r="B11" s="8"/>
      <c r="C11" s="8">
        <v>1991</v>
      </c>
      <c r="D11" s="8">
        <v>1992</v>
      </c>
      <c r="E11" s="35">
        <v>1993</v>
      </c>
      <c r="F11" s="35">
        <v>1994</v>
      </c>
      <c r="G11" s="35">
        <v>1995</v>
      </c>
      <c r="H11" s="35">
        <v>1996</v>
      </c>
      <c r="I11" s="35">
        <v>1997</v>
      </c>
      <c r="J11" s="35">
        <v>1998</v>
      </c>
      <c r="K11" s="35">
        <v>1999</v>
      </c>
      <c r="L11" s="43">
        <v>2000</v>
      </c>
      <c r="M11" s="43">
        <v>2001</v>
      </c>
      <c r="N11" s="43">
        <v>2002</v>
      </c>
      <c r="O11" s="45">
        <v>2003</v>
      </c>
      <c r="P11" s="46"/>
      <c r="Q11" s="64"/>
      <c r="R11" s="64"/>
    </row>
    <row r="12" spans="1:18" x14ac:dyDescent="0.2">
      <c r="C12" s="39"/>
      <c r="D12" s="39"/>
      <c r="E12" s="40"/>
      <c r="F12" s="40"/>
      <c r="G12" s="40"/>
      <c r="H12" s="40"/>
      <c r="P12" s="19"/>
      <c r="Q12" s="19"/>
      <c r="R12" s="19"/>
    </row>
    <row r="13" spans="1:18" x14ac:dyDescent="0.2">
      <c r="B13" s="5" t="s">
        <v>42</v>
      </c>
      <c r="P13" s="19"/>
      <c r="Q13" s="19"/>
      <c r="R13" s="19"/>
    </row>
    <row r="14" spans="1:18" x14ac:dyDescent="0.2">
      <c r="P14" s="19"/>
      <c r="Q14" s="19"/>
      <c r="R14" s="19"/>
    </row>
    <row r="15" spans="1:18" ht="14.25" x14ac:dyDescent="0.2">
      <c r="B15" s="53" t="s">
        <v>35</v>
      </c>
      <c r="C15" s="16">
        <v>34</v>
      </c>
      <c r="D15" s="14">
        <v>36</v>
      </c>
      <c r="E15" s="14">
        <v>39</v>
      </c>
      <c r="F15" s="14">
        <v>37</v>
      </c>
      <c r="G15" s="67" t="s">
        <v>109</v>
      </c>
      <c r="H15" s="14">
        <v>24</v>
      </c>
      <c r="I15" s="14">
        <v>23</v>
      </c>
      <c r="J15" s="14">
        <v>31</v>
      </c>
      <c r="K15" s="14">
        <v>33</v>
      </c>
      <c r="L15" s="14">
        <v>34</v>
      </c>
      <c r="M15" s="14">
        <v>36</v>
      </c>
      <c r="N15" s="14">
        <v>56</v>
      </c>
      <c r="O15" s="14">
        <v>41</v>
      </c>
      <c r="P15" s="62"/>
      <c r="Q15" s="62"/>
      <c r="R15" s="62"/>
    </row>
    <row r="16" spans="1:18" x14ac:dyDescent="0.2">
      <c r="B16" s="51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P16" s="62"/>
      <c r="Q16" s="62"/>
      <c r="R16" s="62"/>
    </row>
    <row r="17" spans="2:18" hidden="1" x14ac:dyDescent="0.2">
      <c r="B17" s="52" t="s">
        <v>25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P17" s="62"/>
      <c r="Q17" s="62"/>
      <c r="R17" s="62"/>
    </row>
    <row r="18" spans="2:18" hidden="1" x14ac:dyDescent="0.2">
      <c r="B18" s="52" t="s">
        <v>26</v>
      </c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62"/>
      <c r="Q18" s="62"/>
      <c r="R18" s="62"/>
    </row>
    <row r="19" spans="2:18" x14ac:dyDescent="0.2">
      <c r="B19" s="53" t="s">
        <v>36</v>
      </c>
      <c r="C19" s="16">
        <v>24</v>
      </c>
      <c r="D19" s="14">
        <v>31</v>
      </c>
      <c r="E19" s="14">
        <v>35</v>
      </c>
      <c r="F19" s="14">
        <v>18</v>
      </c>
      <c r="G19" s="14">
        <v>5</v>
      </c>
      <c r="H19" s="14">
        <v>11</v>
      </c>
      <c r="I19" s="14">
        <v>16</v>
      </c>
      <c r="J19" s="14">
        <v>19</v>
      </c>
      <c r="K19" s="14">
        <v>11</v>
      </c>
      <c r="L19" s="14">
        <v>10</v>
      </c>
      <c r="M19" s="14">
        <v>17</v>
      </c>
      <c r="N19" s="14">
        <v>18</v>
      </c>
      <c r="O19" s="14">
        <v>17</v>
      </c>
      <c r="P19" s="62"/>
      <c r="Q19" s="62"/>
      <c r="R19" s="62"/>
    </row>
    <row r="20" spans="2:18" x14ac:dyDescent="0.2">
      <c r="B20" s="51"/>
      <c r="C20" s="1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P20" s="62"/>
      <c r="Q20" s="62"/>
      <c r="R20" s="62"/>
    </row>
    <row r="21" spans="2:18" hidden="1" x14ac:dyDescent="0.2">
      <c r="B21" s="52" t="s">
        <v>25</v>
      </c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P21" s="62"/>
      <c r="Q21" s="62"/>
      <c r="R21" s="62"/>
    </row>
    <row r="22" spans="2:18" hidden="1" x14ac:dyDescent="0.2">
      <c r="B22" s="52" t="s">
        <v>26</v>
      </c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62"/>
      <c r="Q22" s="62"/>
      <c r="R22" s="62"/>
    </row>
    <row r="23" spans="2:18" ht="14.25" x14ac:dyDescent="0.2">
      <c r="B23" s="53" t="s">
        <v>43</v>
      </c>
      <c r="C23" s="16">
        <v>36</v>
      </c>
      <c r="D23" s="14">
        <v>37</v>
      </c>
      <c r="E23" s="14">
        <v>33</v>
      </c>
      <c r="F23" s="14">
        <v>24</v>
      </c>
      <c r="G23" s="67" t="s">
        <v>109</v>
      </c>
      <c r="H23" s="14">
        <v>18</v>
      </c>
      <c r="I23" s="14">
        <v>18</v>
      </c>
      <c r="J23" s="14">
        <v>19</v>
      </c>
      <c r="K23" s="14">
        <v>18</v>
      </c>
      <c r="L23" s="14">
        <v>24</v>
      </c>
      <c r="M23" s="14">
        <v>25</v>
      </c>
      <c r="N23" s="14">
        <v>32</v>
      </c>
      <c r="O23" s="14">
        <v>36</v>
      </c>
      <c r="P23" s="62"/>
      <c r="Q23" s="62"/>
      <c r="R23" s="62"/>
    </row>
    <row r="24" spans="2:18" hidden="1" x14ac:dyDescent="0.2">
      <c r="B24" s="6" t="s">
        <v>25</v>
      </c>
      <c r="C24" s="16"/>
      <c r="D24" s="16"/>
      <c r="E24" s="32"/>
      <c r="F24" s="16"/>
      <c r="G24" s="16"/>
      <c r="H24" s="16"/>
      <c r="I24" s="16"/>
      <c r="J24" s="16"/>
      <c r="K24" s="16"/>
      <c r="L24" s="16"/>
      <c r="P24" s="62"/>
      <c r="Q24" s="62"/>
      <c r="R24" s="62"/>
    </row>
    <row r="25" spans="2:18" hidden="1" x14ac:dyDescent="0.2">
      <c r="B25" s="6" t="s">
        <v>26</v>
      </c>
      <c r="C25" s="16"/>
      <c r="D25" s="16"/>
      <c r="E25" s="32"/>
      <c r="F25" s="16"/>
      <c r="G25" s="16"/>
      <c r="H25" s="16"/>
      <c r="I25" s="16"/>
      <c r="J25" s="16"/>
      <c r="K25" s="16"/>
      <c r="L25" s="16"/>
      <c r="P25" s="62"/>
      <c r="Q25" s="62"/>
      <c r="R25" s="62"/>
    </row>
    <row r="26" spans="2:18" x14ac:dyDescent="0.2">
      <c r="B26" s="6"/>
      <c r="C26" s="16"/>
      <c r="D26" s="16"/>
      <c r="E26" s="32"/>
      <c r="F26" s="16"/>
      <c r="G26" s="16"/>
      <c r="H26" s="16"/>
      <c r="I26" s="16"/>
      <c r="J26" s="16"/>
      <c r="K26" s="16"/>
      <c r="L26" s="16"/>
      <c r="P26" s="62"/>
      <c r="Q26" s="62"/>
      <c r="R26" s="62"/>
    </row>
    <row r="27" spans="2:18" x14ac:dyDescent="0.2">
      <c r="B27" s="18"/>
      <c r="C27" s="16"/>
      <c r="D27" s="16"/>
      <c r="E27" s="32"/>
      <c r="F27" s="16"/>
      <c r="G27" s="16"/>
      <c r="H27" s="16"/>
      <c r="I27" s="16"/>
      <c r="J27" s="16"/>
      <c r="K27" s="16"/>
      <c r="L27" s="16"/>
      <c r="P27" s="62"/>
      <c r="Q27" s="62"/>
      <c r="R27" s="62"/>
    </row>
    <row r="28" spans="2:18" x14ac:dyDescent="0.2">
      <c r="B28" s="36" t="s">
        <v>44</v>
      </c>
      <c r="C28" s="16"/>
      <c r="D28" s="16"/>
      <c r="E28" s="32"/>
      <c r="F28" s="16"/>
      <c r="G28" s="16"/>
      <c r="H28" s="16"/>
      <c r="I28" s="16"/>
      <c r="J28" s="16"/>
      <c r="K28" s="16"/>
      <c r="L28" s="16"/>
      <c r="P28" s="62"/>
      <c r="Q28" s="62"/>
      <c r="R28" s="62"/>
    </row>
    <row r="29" spans="2:18" x14ac:dyDescent="0.2">
      <c r="B29" s="18"/>
      <c r="C29" s="16"/>
      <c r="D29" s="16"/>
      <c r="E29" s="32"/>
      <c r="F29" s="16"/>
      <c r="G29" s="16"/>
      <c r="H29" s="16"/>
      <c r="I29" s="16"/>
      <c r="J29" s="16"/>
      <c r="K29" s="16"/>
      <c r="L29" s="16"/>
      <c r="P29" s="62"/>
      <c r="Q29" s="62"/>
      <c r="R29" s="62"/>
    </row>
    <row r="30" spans="2:18" ht="14.25" x14ac:dyDescent="0.2">
      <c r="B30" s="74" t="s">
        <v>45</v>
      </c>
      <c r="C30" s="66" t="s">
        <v>109</v>
      </c>
      <c r="D30" s="66" t="s">
        <v>109</v>
      </c>
      <c r="E30" s="33">
        <f>SUM(E31:E32)</f>
        <v>0</v>
      </c>
      <c r="F30" s="28">
        <f>SUM(F31:F32)</f>
        <v>45</v>
      </c>
      <c r="G30" s="28">
        <f>SUM(G31:G32)</f>
        <v>33</v>
      </c>
      <c r="H30" s="28">
        <f>SUM(H31:H32)</f>
        <v>5</v>
      </c>
      <c r="I30" s="28">
        <f>SUM(I31:I32)</f>
        <v>6</v>
      </c>
      <c r="J30" s="67" t="s">
        <v>109</v>
      </c>
      <c r="K30" s="67" t="s">
        <v>109</v>
      </c>
      <c r="L30" s="67" t="s">
        <v>109</v>
      </c>
      <c r="M30" s="67" t="s">
        <v>109</v>
      </c>
      <c r="N30" s="67" t="s">
        <v>109</v>
      </c>
      <c r="O30" s="67" t="s">
        <v>109</v>
      </c>
      <c r="P30" s="62"/>
      <c r="Q30" s="62"/>
      <c r="R30" s="62"/>
    </row>
    <row r="31" spans="2:18" ht="14.25" x14ac:dyDescent="0.2">
      <c r="B31" s="48" t="s">
        <v>46</v>
      </c>
      <c r="C31" s="66" t="s">
        <v>109</v>
      </c>
      <c r="D31" s="66" t="s">
        <v>109</v>
      </c>
      <c r="E31" s="32">
        <v>0</v>
      </c>
      <c r="F31" s="16">
        <v>43</v>
      </c>
      <c r="G31" s="16">
        <v>31</v>
      </c>
      <c r="H31" s="16">
        <v>3</v>
      </c>
      <c r="I31" s="16">
        <v>3</v>
      </c>
      <c r="J31" s="65" t="s">
        <v>108</v>
      </c>
      <c r="K31" s="65" t="s">
        <v>108</v>
      </c>
      <c r="L31" s="65" t="s">
        <v>108</v>
      </c>
      <c r="M31" s="65" t="s">
        <v>108</v>
      </c>
      <c r="N31" s="65" t="s">
        <v>108</v>
      </c>
      <c r="O31" s="65" t="s">
        <v>108</v>
      </c>
      <c r="P31" s="62"/>
      <c r="Q31" s="62"/>
      <c r="R31" s="62"/>
    </row>
    <row r="32" spans="2:18" ht="14.25" x14ac:dyDescent="0.2">
      <c r="B32" s="48" t="s">
        <v>47</v>
      </c>
      <c r="C32" s="66" t="s">
        <v>109</v>
      </c>
      <c r="D32" s="66" t="s">
        <v>109</v>
      </c>
      <c r="E32" s="32">
        <v>0</v>
      </c>
      <c r="F32" s="16">
        <v>2</v>
      </c>
      <c r="G32" s="16">
        <v>2</v>
      </c>
      <c r="H32" s="16">
        <v>2</v>
      </c>
      <c r="I32" s="16">
        <v>3</v>
      </c>
      <c r="J32" s="65" t="s">
        <v>108</v>
      </c>
      <c r="K32" s="65" t="s">
        <v>108</v>
      </c>
      <c r="L32" s="65" t="s">
        <v>108</v>
      </c>
      <c r="M32" s="65" t="s">
        <v>108</v>
      </c>
      <c r="N32" s="65" t="s">
        <v>108</v>
      </c>
      <c r="O32" s="65" t="s">
        <v>108</v>
      </c>
      <c r="P32" s="62"/>
      <c r="Q32" s="62"/>
      <c r="R32" s="62"/>
    </row>
    <row r="33" spans="2:20" ht="14.25" x14ac:dyDescent="0.2">
      <c r="B33" s="74" t="s">
        <v>34</v>
      </c>
      <c r="C33" s="75" t="s">
        <v>109</v>
      </c>
      <c r="D33" s="75" t="s">
        <v>109</v>
      </c>
      <c r="E33" s="33">
        <f t="shared" ref="E33:O33" si="0">SUM(E34:E35)</f>
        <v>0</v>
      </c>
      <c r="F33" s="67" t="s">
        <v>109</v>
      </c>
      <c r="G33" s="67" t="s">
        <v>109</v>
      </c>
      <c r="H33" s="28">
        <f t="shared" si="0"/>
        <v>92</v>
      </c>
      <c r="I33" s="28">
        <f t="shared" si="0"/>
        <v>154</v>
      </c>
      <c r="J33" s="28">
        <f t="shared" si="0"/>
        <v>157</v>
      </c>
      <c r="K33" s="28">
        <f t="shared" si="0"/>
        <v>224</v>
      </c>
      <c r="L33" s="28">
        <f t="shared" si="0"/>
        <v>318</v>
      </c>
      <c r="M33" s="28">
        <f t="shared" si="0"/>
        <v>391</v>
      </c>
      <c r="N33" s="28">
        <f t="shared" si="0"/>
        <v>391</v>
      </c>
      <c r="O33" s="28">
        <f t="shared" si="0"/>
        <v>426</v>
      </c>
      <c r="P33" s="62"/>
      <c r="Q33" s="62"/>
      <c r="R33" s="62"/>
    </row>
    <row r="34" spans="2:20" x14ac:dyDescent="0.2">
      <c r="B34" s="48" t="s">
        <v>46</v>
      </c>
      <c r="C34" s="16"/>
      <c r="D34" s="16"/>
      <c r="E34" s="32"/>
      <c r="F34" s="16"/>
      <c r="G34" s="16"/>
      <c r="H34" s="16">
        <v>44</v>
      </c>
      <c r="I34" s="16">
        <v>60</v>
      </c>
      <c r="J34" s="16">
        <v>69</v>
      </c>
      <c r="K34" s="16">
        <v>88</v>
      </c>
      <c r="L34" s="16">
        <v>152</v>
      </c>
      <c r="M34" s="16">
        <v>242</v>
      </c>
      <c r="N34" s="16">
        <v>215</v>
      </c>
      <c r="O34" s="16">
        <v>243</v>
      </c>
      <c r="P34" s="62"/>
      <c r="Q34" s="62"/>
      <c r="R34" s="62"/>
    </row>
    <row r="35" spans="2:20" x14ac:dyDescent="0.2">
      <c r="B35" s="48" t="s">
        <v>47</v>
      </c>
      <c r="C35" s="16"/>
      <c r="D35" s="16"/>
      <c r="E35" s="32"/>
      <c r="F35" s="16"/>
      <c r="G35" s="16"/>
      <c r="H35" s="16">
        <v>48</v>
      </c>
      <c r="I35" s="16">
        <v>94</v>
      </c>
      <c r="J35" s="16">
        <v>88</v>
      </c>
      <c r="K35" s="16">
        <v>136</v>
      </c>
      <c r="L35" s="16">
        <v>166</v>
      </c>
      <c r="M35" s="16">
        <v>149</v>
      </c>
      <c r="N35" s="16">
        <v>176</v>
      </c>
      <c r="O35" s="16">
        <v>183</v>
      </c>
      <c r="P35" s="62"/>
      <c r="Q35" s="62"/>
      <c r="R35" s="62"/>
    </row>
    <row r="36" spans="2:20" x14ac:dyDescent="0.2">
      <c r="B36" s="18"/>
      <c r="C36" s="16"/>
      <c r="D36" s="16"/>
      <c r="E36" s="32"/>
      <c r="F36" s="16"/>
      <c r="G36" s="16"/>
      <c r="H36" s="16"/>
      <c r="I36" s="16"/>
      <c r="J36" s="16"/>
      <c r="K36" s="16"/>
      <c r="L36" s="16"/>
      <c r="P36" s="62"/>
      <c r="Q36" s="62"/>
      <c r="R36" s="62"/>
    </row>
    <row r="37" spans="2:20" x14ac:dyDescent="0.2">
      <c r="B37" s="18"/>
      <c r="C37" s="16"/>
      <c r="D37" s="16"/>
      <c r="E37" s="32"/>
      <c r="F37" s="16"/>
      <c r="G37" s="16"/>
      <c r="H37" s="16"/>
      <c r="I37" s="16"/>
      <c r="J37" s="16"/>
      <c r="K37" s="16"/>
      <c r="L37" s="16"/>
      <c r="P37" s="62"/>
      <c r="Q37" s="62"/>
      <c r="R37" s="62"/>
    </row>
    <row r="38" spans="2:20" x14ac:dyDescent="0.2">
      <c r="B38" s="36" t="s">
        <v>48</v>
      </c>
      <c r="C38" s="28">
        <f t="shared" ref="C38:N38" si="1">SUM(C40:C50)</f>
        <v>98</v>
      </c>
      <c r="D38" s="28">
        <f t="shared" si="1"/>
        <v>93</v>
      </c>
      <c r="E38" s="28">
        <f t="shared" si="1"/>
        <v>84</v>
      </c>
      <c r="F38" s="28">
        <f t="shared" si="1"/>
        <v>81</v>
      </c>
      <c r="G38" s="28">
        <f t="shared" si="1"/>
        <v>111</v>
      </c>
      <c r="H38" s="28">
        <f t="shared" si="1"/>
        <v>35</v>
      </c>
      <c r="I38" s="28">
        <f t="shared" si="1"/>
        <v>29</v>
      </c>
      <c r="J38" s="28">
        <f t="shared" si="1"/>
        <v>68</v>
      </c>
      <c r="K38" s="28">
        <f t="shared" si="1"/>
        <v>61</v>
      </c>
      <c r="L38" s="28">
        <f t="shared" si="1"/>
        <v>157</v>
      </c>
      <c r="M38" s="28">
        <f t="shared" si="1"/>
        <v>111</v>
      </c>
      <c r="N38" s="28">
        <f t="shared" si="1"/>
        <v>89</v>
      </c>
      <c r="O38" s="28">
        <f>SUM(O40:O50)</f>
        <v>118</v>
      </c>
      <c r="P38" s="62"/>
      <c r="Q38" s="62"/>
      <c r="R38" s="62"/>
    </row>
    <row r="39" spans="2:20" x14ac:dyDescent="0.2">
      <c r="B39" s="18"/>
      <c r="C39" s="16"/>
      <c r="D39" s="16"/>
      <c r="E39" s="32"/>
      <c r="F39" s="16"/>
      <c r="G39" s="16"/>
      <c r="H39" s="16"/>
      <c r="I39" s="16"/>
      <c r="J39" s="16"/>
      <c r="K39" s="16"/>
      <c r="L39" s="16"/>
      <c r="P39" s="62"/>
      <c r="Q39" s="62"/>
      <c r="R39" s="62"/>
    </row>
    <row r="40" spans="2:20" ht="14.25" x14ac:dyDescent="0.2">
      <c r="B40" s="52" t="s">
        <v>49</v>
      </c>
      <c r="C40" s="16">
        <v>50</v>
      </c>
      <c r="D40" s="16">
        <v>39</v>
      </c>
      <c r="E40" s="32">
        <v>27</v>
      </c>
      <c r="F40" s="16">
        <v>26</v>
      </c>
      <c r="G40" s="16">
        <v>38</v>
      </c>
      <c r="H40" s="65" t="s">
        <v>108</v>
      </c>
      <c r="I40" s="16">
        <v>14</v>
      </c>
      <c r="J40" s="16">
        <v>6</v>
      </c>
      <c r="K40" s="65" t="s">
        <v>108</v>
      </c>
      <c r="L40" s="65" t="s">
        <v>108</v>
      </c>
      <c r="M40" s="65" t="s">
        <v>108</v>
      </c>
      <c r="N40" s="65" t="s">
        <v>108</v>
      </c>
      <c r="O40" s="65" t="s">
        <v>108</v>
      </c>
      <c r="P40" s="62"/>
      <c r="Q40" s="62"/>
      <c r="R40" s="62"/>
    </row>
    <row r="41" spans="2:20" x14ac:dyDescent="0.2">
      <c r="B41" s="52" t="s">
        <v>50</v>
      </c>
      <c r="C41" s="16">
        <v>48</v>
      </c>
      <c r="D41" s="16">
        <v>54</v>
      </c>
      <c r="E41" s="32">
        <v>50</v>
      </c>
      <c r="F41" s="16">
        <v>43</v>
      </c>
      <c r="G41" s="16">
        <v>54</v>
      </c>
      <c r="H41" s="16">
        <v>30</v>
      </c>
      <c r="I41" s="16">
        <v>15</v>
      </c>
      <c r="J41" s="16">
        <v>33</v>
      </c>
      <c r="K41" s="16">
        <v>37</v>
      </c>
      <c r="L41" s="16">
        <v>61</v>
      </c>
      <c r="M41" s="16">
        <v>60</v>
      </c>
      <c r="N41" s="16">
        <v>58</v>
      </c>
      <c r="O41" s="16">
        <v>48</v>
      </c>
      <c r="P41" s="62"/>
      <c r="Q41" s="62"/>
      <c r="R41" s="62"/>
    </row>
    <row r="42" spans="2:20" ht="14.25" x14ac:dyDescent="0.2">
      <c r="B42" s="52" t="s">
        <v>51</v>
      </c>
      <c r="C42" s="65" t="s">
        <v>108</v>
      </c>
      <c r="D42" s="65" t="s">
        <v>108</v>
      </c>
      <c r="E42" s="32">
        <v>7</v>
      </c>
      <c r="F42" s="16">
        <v>12</v>
      </c>
      <c r="G42" s="16">
        <v>5</v>
      </c>
      <c r="H42" s="16">
        <v>5</v>
      </c>
      <c r="I42" s="67" t="s">
        <v>109</v>
      </c>
      <c r="J42" s="67" t="s">
        <v>109</v>
      </c>
      <c r="K42" s="67" t="s">
        <v>109</v>
      </c>
      <c r="L42" s="67" t="s">
        <v>109</v>
      </c>
      <c r="M42" s="67" t="s">
        <v>109</v>
      </c>
      <c r="N42" s="67" t="s">
        <v>109</v>
      </c>
      <c r="O42" s="67" t="s">
        <v>109</v>
      </c>
      <c r="P42" s="67"/>
      <c r="Q42" s="67"/>
      <c r="R42" s="67"/>
      <c r="S42" s="67"/>
      <c r="T42" s="67"/>
    </row>
    <row r="43" spans="2:20" ht="14.25" x14ac:dyDescent="0.2">
      <c r="B43" s="52" t="s">
        <v>52</v>
      </c>
      <c r="C43" s="65" t="s">
        <v>108</v>
      </c>
      <c r="D43" s="65" t="s">
        <v>108</v>
      </c>
      <c r="E43" s="32"/>
      <c r="F43" s="16"/>
      <c r="G43" s="16">
        <v>14</v>
      </c>
      <c r="H43" s="66" t="s">
        <v>109</v>
      </c>
      <c r="I43" s="66" t="s">
        <v>109</v>
      </c>
      <c r="J43" s="16">
        <v>17</v>
      </c>
      <c r="K43" s="16">
        <v>24</v>
      </c>
      <c r="L43" s="16">
        <v>39</v>
      </c>
      <c r="M43" s="16">
        <v>24</v>
      </c>
      <c r="N43" s="16">
        <v>31</v>
      </c>
      <c r="O43" s="16">
        <v>17</v>
      </c>
      <c r="P43" s="62"/>
      <c r="Q43" s="62"/>
      <c r="R43" s="62"/>
    </row>
    <row r="44" spans="2:20" ht="14.25" x14ac:dyDescent="0.2">
      <c r="B44" s="52" t="s">
        <v>96</v>
      </c>
      <c r="C44" s="65" t="s">
        <v>108</v>
      </c>
      <c r="D44" s="65" t="s">
        <v>108</v>
      </c>
      <c r="E44" s="32"/>
      <c r="F44" s="16"/>
      <c r="G44" s="16"/>
      <c r="H44" s="65" t="s">
        <v>108</v>
      </c>
      <c r="I44" s="65" t="s">
        <v>108</v>
      </c>
      <c r="J44" s="65" t="s">
        <v>108</v>
      </c>
      <c r="K44" s="65" t="s">
        <v>108</v>
      </c>
      <c r="L44" s="16">
        <v>24</v>
      </c>
      <c r="M44" s="16">
        <v>12</v>
      </c>
      <c r="N44" s="65" t="s">
        <v>108</v>
      </c>
      <c r="O44" s="65" t="s">
        <v>108</v>
      </c>
      <c r="P44" s="62"/>
      <c r="Q44" s="62"/>
      <c r="R44" s="62"/>
    </row>
    <row r="45" spans="2:20" ht="14.25" x14ac:dyDescent="0.2">
      <c r="B45" s="52" t="s">
        <v>97</v>
      </c>
      <c r="C45" s="65" t="s">
        <v>108</v>
      </c>
      <c r="D45" s="65" t="s">
        <v>108</v>
      </c>
      <c r="E45" s="32"/>
      <c r="F45" s="16"/>
      <c r="G45" s="16"/>
      <c r="H45" s="65" t="s">
        <v>108</v>
      </c>
      <c r="I45" s="65" t="s">
        <v>108</v>
      </c>
      <c r="J45" s="65" t="s">
        <v>108</v>
      </c>
      <c r="K45" s="65" t="s">
        <v>108</v>
      </c>
      <c r="L45" s="16">
        <v>15</v>
      </c>
      <c r="M45" s="16">
        <v>8</v>
      </c>
      <c r="N45" s="65" t="s">
        <v>108</v>
      </c>
      <c r="O45" s="65" t="s">
        <v>108</v>
      </c>
      <c r="P45" s="62"/>
      <c r="Q45" s="62"/>
      <c r="R45" s="62"/>
    </row>
    <row r="46" spans="2:20" ht="14.25" x14ac:dyDescent="0.2">
      <c r="B46" s="52" t="s">
        <v>115</v>
      </c>
      <c r="C46" s="65" t="s">
        <v>108</v>
      </c>
      <c r="D46" s="65" t="s">
        <v>108</v>
      </c>
      <c r="E46" s="32"/>
      <c r="F46" s="16"/>
      <c r="G46" s="16"/>
      <c r="H46" s="65" t="s">
        <v>108</v>
      </c>
      <c r="I46" s="65" t="s">
        <v>108</v>
      </c>
      <c r="J46" s="65" t="s">
        <v>108</v>
      </c>
      <c r="K46" s="65" t="s">
        <v>108</v>
      </c>
      <c r="L46" s="16">
        <v>18</v>
      </c>
      <c r="M46" s="16">
        <v>7</v>
      </c>
      <c r="N46" s="65" t="s">
        <v>108</v>
      </c>
      <c r="O46" s="16">
        <v>19</v>
      </c>
      <c r="P46" s="62"/>
      <c r="Q46" s="62"/>
      <c r="R46" s="62"/>
    </row>
    <row r="47" spans="2:20" ht="14.25" x14ac:dyDescent="0.2">
      <c r="B47" s="52" t="s">
        <v>116</v>
      </c>
      <c r="C47" s="65" t="s">
        <v>108</v>
      </c>
      <c r="D47" s="65" t="s">
        <v>108</v>
      </c>
      <c r="E47" s="32"/>
      <c r="F47" s="16"/>
      <c r="G47" s="16"/>
      <c r="H47" s="65" t="s">
        <v>108</v>
      </c>
      <c r="I47" s="65" t="s">
        <v>108</v>
      </c>
      <c r="J47" s="16">
        <v>12</v>
      </c>
      <c r="K47" s="67" t="s">
        <v>109</v>
      </c>
      <c r="L47" s="67" t="s">
        <v>109</v>
      </c>
      <c r="M47" s="67" t="s">
        <v>109</v>
      </c>
      <c r="N47" s="67" t="s">
        <v>109</v>
      </c>
      <c r="O47" s="67" t="s">
        <v>109</v>
      </c>
      <c r="P47" s="67"/>
      <c r="Q47" s="62"/>
      <c r="R47" s="62"/>
    </row>
    <row r="48" spans="2:20" ht="14.25" x14ac:dyDescent="0.2">
      <c r="B48" s="52" t="s">
        <v>102</v>
      </c>
      <c r="C48" s="65" t="s">
        <v>108</v>
      </c>
      <c r="D48" s="65" t="s">
        <v>108</v>
      </c>
      <c r="E48" s="32"/>
      <c r="F48" s="16"/>
      <c r="G48" s="16"/>
      <c r="H48" s="65" t="s">
        <v>108</v>
      </c>
      <c r="I48" s="65" t="s">
        <v>108</v>
      </c>
      <c r="J48" s="65" t="s">
        <v>108</v>
      </c>
      <c r="K48" s="65" t="s">
        <v>108</v>
      </c>
      <c r="L48" s="65" t="s">
        <v>108</v>
      </c>
      <c r="M48" s="65" t="s">
        <v>108</v>
      </c>
      <c r="N48" s="65" t="s">
        <v>108</v>
      </c>
      <c r="O48" s="16">
        <v>12</v>
      </c>
      <c r="P48" s="62"/>
      <c r="Q48" s="62"/>
      <c r="R48" s="62"/>
    </row>
    <row r="49" spans="1:18" ht="14.25" x14ac:dyDescent="0.2">
      <c r="B49" s="52" t="s">
        <v>104</v>
      </c>
      <c r="C49" s="65" t="s">
        <v>108</v>
      </c>
      <c r="D49" s="65" t="s">
        <v>108</v>
      </c>
      <c r="E49" s="32"/>
      <c r="F49" s="16"/>
      <c r="G49" s="16"/>
      <c r="H49" s="65" t="s">
        <v>108</v>
      </c>
      <c r="I49" s="65" t="s">
        <v>108</v>
      </c>
      <c r="J49" s="65" t="s">
        <v>108</v>
      </c>
      <c r="K49" s="65" t="s">
        <v>108</v>
      </c>
      <c r="L49" s="65" t="s">
        <v>108</v>
      </c>
      <c r="M49" s="65" t="s">
        <v>108</v>
      </c>
      <c r="N49" s="65" t="s">
        <v>108</v>
      </c>
      <c r="O49" s="16">
        <v>15</v>
      </c>
      <c r="P49" s="62"/>
      <c r="Q49" s="62"/>
      <c r="R49" s="62"/>
    </row>
    <row r="50" spans="1:18" ht="14.25" x14ac:dyDescent="0.2">
      <c r="B50" s="52" t="s">
        <v>105</v>
      </c>
      <c r="C50" s="65" t="s">
        <v>108</v>
      </c>
      <c r="D50" s="65" t="s">
        <v>108</v>
      </c>
      <c r="E50" s="32"/>
      <c r="F50" s="16"/>
      <c r="G50" s="16"/>
      <c r="H50" s="65" t="s">
        <v>108</v>
      </c>
      <c r="I50" s="65" t="s">
        <v>108</v>
      </c>
      <c r="J50" s="65" t="s">
        <v>108</v>
      </c>
      <c r="K50" s="65" t="s">
        <v>108</v>
      </c>
      <c r="L50" s="65" t="s">
        <v>108</v>
      </c>
      <c r="M50" s="65" t="s">
        <v>108</v>
      </c>
      <c r="N50" s="65" t="s">
        <v>108</v>
      </c>
      <c r="O50" s="16">
        <v>7</v>
      </c>
      <c r="P50" s="62"/>
      <c r="Q50" s="62"/>
      <c r="R50" s="62"/>
    </row>
    <row r="51" spans="1:18" x14ac:dyDescent="0.2">
      <c r="B51" s="18"/>
      <c r="C51" s="16"/>
      <c r="D51" s="16"/>
      <c r="E51" s="32"/>
      <c r="F51" s="16"/>
      <c r="G51" s="16"/>
      <c r="H51" s="16"/>
      <c r="I51" s="16"/>
      <c r="J51" s="16"/>
      <c r="K51" s="16"/>
      <c r="L51" s="16"/>
      <c r="P51" s="62"/>
      <c r="Q51" s="62"/>
      <c r="R51" s="62"/>
    </row>
    <row r="52" spans="1:18" x14ac:dyDescent="0.2">
      <c r="B52" s="36" t="s">
        <v>98</v>
      </c>
      <c r="C52" s="16"/>
      <c r="D52" s="16"/>
      <c r="E52" s="32"/>
      <c r="F52" s="16"/>
      <c r="G52" s="16"/>
      <c r="H52" s="16"/>
      <c r="I52" s="16"/>
      <c r="J52" s="16"/>
      <c r="K52" s="16"/>
      <c r="L52" s="16"/>
      <c r="P52" s="62"/>
      <c r="Q52" s="62"/>
      <c r="R52" s="62"/>
    </row>
    <row r="53" spans="1:18" ht="14.25" x14ac:dyDescent="0.2">
      <c r="B53" s="52" t="s">
        <v>53</v>
      </c>
      <c r="C53" s="16">
        <v>889</v>
      </c>
      <c r="D53" s="16">
        <v>1033</v>
      </c>
      <c r="E53" s="32">
        <v>756</v>
      </c>
      <c r="F53" s="16">
        <v>862</v>
      </c>
      <c r="G53" s="16">
        <v>757</v>
      </c>
      <c r="H53" s="16">
        <v>1183</v>
      </c>
      <c r="I53" s="16">
        <v>1437</v>
      </c>
      <c r="J53" s="16">
        <v>1827</v>
      </c>
      <c r="K53" s="16">
        <v>1591</v>
      </c>
      <c r="L53" s="16">
        <v>1537</v>
      </c>
      <c r="M53" s="16">
        <v>1532</v>
      </c>
      <c r="N53" s="16">
        <v>1181</v>
      </c>
      <c r="O53" s="67" t="s">
        <v>109</v>
      </c>
      <c r="P53" s="62"/>
      <c r="Q53" s="62"/>
      <c r="R53" s="62"/>
    </row>
    <row r="54" spans="1:18" x14ac:dyDescent="0.2">
      <c r="A54" s="19"/>
      <c r="B54" s="2"/>
      <c r="C54" s="2"/>
      <c r="D54" s="2"/>
      <c r="E54" s="47"/>
      <c r="F54" s="47"/>
      <c r="G54" s="47"/>
      <c r="H54" s="47"/>
      <c r="I54" s="2"/>
      <c r="J54" s="2"/>
      <c r="K54" s="2"/>
      <c r="L54" s="2"/>
      <c r="M54" s="2"/>
      <c r="N54" s="2"/>
      <c r="O54" s="2"/>
      <c r="P54" s="49"/>
      <c r="Q54" s="49"/>
      <c r="R54" s="49"/>
    </row>
    <row r="55" spans="1:18" hidden="1" x14ac:dyDescent="0.2">
      <c r="B55" s="18" t="s">
        <v>54</v>
      </c>
      <c r="E55" s="6">
        <v>17</v>
      </c>
      <c r="F55" s="6" t="s">
        <v>55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P55" s="49"/>
      <c r="Q55" s="49"/>
      <c r="R55" s="49"/>
    </row>
    <row r="56" spans="1:18" x14ac:dyDescent="0.2">
      <c r="E56" s="18"/>
      <c r="F56" s="18"/>
      <c r="G56" s="18"/>
      <c r="H56" s="18"/>
      <c r="P56" s="49"/>
      <c r="Q56" s="49"/>
      <c r="R56" s="49"/>
    </row>
    <row r="57" spans="1:18" x14ac:dyDescent="0.2">
      <c r="B57" s="4" t="s">
        <v>119</v>
      </c>
      <c r="E57" s="18"/>
      <c r="F57" s="18"/>
      <c r="G57" s="18"/>
      <c r="H57" s="18"/>
      <c r="P57" s="49"/>
      <c r="Q57" s="49"/>
      <c r="R57" s="49"/>
    </row>
    <row r="58" spans="1:18" ht="14.25" x14ac:dyDescent="0.2">
      <c r="A58" s="24">
        <v>1</v>
      </c>
      <c r="B58" t="s">
        <v>106</v>
      </c>
      <c r="C58" s="11"/>
      <c r="D58" s="11"/>
      <c r="E58" s="17"/>
      <c r="F58" s="17"/>
      <c r="G58" s="17"/>
      <c r="H58" s="17"/>
      <c r="I58" s="11"/>
      <c r="J58" s="11"/>
      <c r="K58" s="11"/>
      <c r="L58" s="11"/>
      <c r="M58" s="11"/>
      <c r="N58" s="11"/>
      <c r="P58" s="49"/>
      <c r="Q58" s="49"/>
      <c r="R58" s="49"/>
    </row>
    <row r="59" spans="1:18" ht="14.25" x14ac:dyDescent="0.2">
      <c r="A59" s="57">
        <v>2</v>
      </c>
      <c r="B59" s="37" t="s">
        <v>107</v>
      </c>
      <c r="E59" s="16"/>
      <c r="F59" s="16"/>
      <c r="G59" s="16"/>
      <c r="H59" s="16"/>
      <c r="P59" s="49"/>
      <c r="Q59" s="49"/>
      <c r="R59" s="49"/>
    </row>
    <row r="60" spans="1:18" outlineLevel="1" x14ac:dyDescent="0.2">
      <c r="E60" s="16"/>
      <c r="F60" s="16"/>
      <c r="G60" s="16"/>
      <c r="H60" s="16"/>
      <c r="P60" s="49"/>
      <c r="Q60" s="49"/>
      <c r="R60" s="49"/>
    </row>
    <row r="61" spans="1:18" outlineLevel="1" x14ac:dyDescent="0.2">
      <c r="B61" s="59" t="s">
        <v>99</v>
      </c>
      <c r="E61" s="16"/>
      <c r="F61" s="16"/>
      <c r="G61" s="16"/>
      <c r="H61" s="16"/>
      <c r="P61" s="49"/>
      <c r="Q61" s="49"/>
      <c r="R61" s="49"/>
    </row>
    <row r="62" spans="1:18" outlineLevel="1" x14ac:dyDescent="0.2">
      <c r="E62" s="16"/>
      <c r="F62" s="16"/>
      <c r="G62" s="16"/>
      <c r="H62" s="16"/>
      <c r="P62" s="49"/>
      <c r="Q62" s="18" t="s">
        <v>56</v>
      </c>
    </row>
    <row r="63" spans="1:18" outlineLevel="1" x14ac:dyDescent="0.2">
      <c r="E63" s="16"/>
      <c r="F63" s="16"/>
      <c r="G63" s="16"/>
      <c r="H63" s="16"/>
      <c r="P63" s="49"/>
      <c r="Q63" s="6" t="s">
        <v>25</v>
      </c>
    </row>
    <row r="64" spans="1:18" outlineLevel="1" x14ac:dyDescent="0.2">
      <c r="E64" s="16"/>
      <c r="F64" s="16"/>
      <c r="G64" s="16"/>
      <c r="H64" s="16"/>
      <c r="P64" s="49"/>
      <c r="Q64" s="6" t="s">
        <v>26</v>
      </c>
    </row>
    <row r="65" spans="1:18" outlineLevel="1" x14ac:dyDescent="0.2">
      <c r="E65" s="16"/>
      <c r="F65" s="16"/>
      <c r="G65" s="16"/>
      <c r="H65" s="16"/>
      <c r="P65" s="49"/>
      <c r="Q65" s="18" t="s">
        <v>57</v>
      </c>
    </row>
    <row r="66" spans="1:18" outlineLevel="1" x14ac:dyDescent="0.2">
      <c r="E66" s="16"/>
      <c r="F66" s="16"/>
      <c r="G66" s="16"/>
      <c r="H66" s="16"/>
      <c r="P66" s="49"/>
      <c r="Q66" s="6" t="s">
        <v>25</v>
      </c>
    </row>
    <row r="67" spans="1:18" outlineLevel="1" x14ac:dyDescent="0.2">
      <c r="B67" s="6"/>
      <c r="E67" s="16"/>
      <c r="F67" s="16"/>
      <c r="G67" s="16"/>
      <c r="H67" s="16"/>
      <c r="P67" s="49"/>
      <c r="Q67" s="6" t="s">
        <v>26</v>
      </c>
    </row>
    <row r="68" spans="1:18" outlineLevel="1" x14ac:dyDescent="0.2">
      <c r="B68" s="6"/>
      <c r="E68" s="16"/>
      <c r="F68" s="16"/>
      <c r="G68" s="16"/>
      <c r="H68" s="16"/>
      <c r="P68" s="49"/>
      <c r="Q68" s="49"/>
      <c r="R68" s="49"/>
    </row>
    <row r="69" spans="1:18" outlineLevel="1" x14ac:dyDescent="0.2">
      <c r="B69" s="6"/>
      <c r="E69" s="16"/>
      <c r="F69" s="16"/>
      <c r="G69" s="16"/>
      <c r="H69" s="16"/>
      <c r="P69" s="49"/>
      <c r="Q69" s="49"/>
      <c r="R69" s="49"/>
    </row>
    <row r="70" spans="1:18" x14ac:dyDescent="0.2">
      <c r="P70" s="49"/>
      <c r="Q70" s="49"/>
      <c r="R70" s="49"/>
    </row>
    <row r="71" spans="1:18" x14ac:dyDescent="0.2">
      <c r="P71" s="49"/>
      <c r="Q71" s="49"/>
      <c r="R71" s="49"/>
    </row>
    <row r="72" spans="1:18" x14ac:dyDescent="0.2">
      <c r="P72" s="49"/>
      <c r="Q72" s="49"/>
      <c r="R72" s="49"/>
    </row>
    <row r="73" spans="1:18" x14ac:dyDescent="0.2">
      <c r="P73" s="49"/>
      <c r="Q73" s="49"/>
      <c r="R73" s="49"/>
    </row>
    <row r="74" spans="1:18" x14ac:dyDescent="0.2">
      <c r="P74" s="49"/>
      <c r="Q74" s="49"/>
      <c r="R74" s="49"/>
    </row>
    <row r="75" spans="1:18" x14ac:dyDescent="0.2">
      <c r="P75" s="49"/>
      <c r="Q75" s="49"/>
      <c r="R75" s="49"/>
    </row>
    <row r="76" spans="1:18" x14ac:dyDescent="0.2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37"/>
      <c r="O76" s="37"/>
      <c r="P76" s="49"/>
      <c r="Q76" s="49"/>
      <c r="R76" s="49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7"/>
      <c r="O77" s="37"/>
      <c r="P77" s="63"/>
      <c r="Q77" s="63"/>
      <c r="R77" s="63"/>
    </row>
    <row r="78" spans="1:18" s="58" customFormat="1" ht="9" customHeight="1" x14ac:dyDescent="0.2"/>
    <row r="79" spans="1:18" x14ac:dyDescent="0.2">
      <c r="A79" s="629"/>
      <c r="B79" s="629"/>
      <c r="C79" s="629"/>
      <c r="D79" s="629"/>
      <c r="E79" s="629"/>
      <c r="F79" s="629"/>
      <c r="G79" s="629"/>
      <c r="H79" s="629"/>
      <c r="I79" s="629"/>
      <c r="J79" s="629"/>
      <c r="K79" s="629"/>
      <c r="L79" s="629"/>
      <c r="M79" s="629"/>
      <c r="N79" s="629"/>
      <c r="O79" s="629"/>
      <c r="P79" s="60"/>
      <c r="Q79" s="60"/>
    </row>
  </sheetData>
  <mergeCells count="2">
    <mergeCell ref="B8:O8"/>
    <mergeCell ref="A79:O79"/>
  </mergeCells>
  <phoneticPr fontId="0" type="noConversion"/>
  <pageMargins left="0.9" right="0.9" top="1" bottom="1" header="0.52" footer="0.5"/>
  <pageSetup scale="70" orientation="portrait" r:id="rId1"/>
  <headerFooter alignWithMargins="0"/>
  <colBreaks count="1" manualBreakCount="1">
    <brk id="15" min="1" max="78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628650</xdr:colOff>
                <xdr:row>2</xdr:row>
                <xdr:rowOff>133350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4:Y64"/>
  <sheetViews>
    <sheetView view="pageBreakPreview" zoomScaleNormal="100" zoomScaleSheetLayoutView="100" workbookViewId="0">
      <pane xSplit="3" topLeftCell="D1" activePane="topRight" state="frozen"/>
      <selection activeCell="P12" sqref="P12"/>
      <selection pane="topRight" activeCell="A4" sqref="A4:W6"/>
    </sheetView>
  </sheetViews>
  <sheetFormatPr defaultRowHeight="12.75" outlineLevelRow="1" x14ac:dyDescent="0.2"/>
  <cols>
    <col min="1" max="1" width="6.42578125" customWidth="1"/>
    <col min="2" max="2" width="32.7109375" customWidth="1"/>
    <col min="3" max="3" width="9.7109375" hidden="1" customWidth="1"/>
    <col min="4" max="6" width="9" hidden="1" customWidth="1"/>
    <col min="7" max="10" width="8.85546875" hidden="1" customWidth="1"/>
    <col min="11" max="11" width="8.42578125" hidden="1" customWidth="1"/>
    <col min="12" max="13" width="8" hidden="1" customWidth="1"/>
    <col min="14" max="14" width="7.85546875" hidden="1" customWidth="1"/>
    <col min="15" max="15" width="7.7109375" hidden="1" customWidth="1"/>
    <col min="16" max="16" width="7.85546875" hidden="1" customWidth="1"/>
    <col min="17" max="18" width="12.7109375" hidden="1" customWidth="1"/>
    <col min="19" max="23" width="12.7109375" customWidth="1"/>
  </cols>
  <sheetData>
    <row r="4" spans="1:25" ht="15" x14ac:dyDescent="0.25">
      <c r="M4" s="627" t="s">
        <v>207</v>
      </c>
      <c r="N4" s="627"/>
      <c r="O4" s="627"/>
      <c r="P4" s="627"/>
      <c r="Q4" s="627"/>
      <c r="R4" s="627"/>
      <c r="S4" s="627"/>
      <c r="T4" s="627"/>
      <c r="U4" s="627"/>
      <c r="V4" s="627"/>
      <c r="W4" s="627"/>
    </row>
    <row r="5" spans="1:25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8" spans="1:25" ht="15.75" x14ac:dyDescent="0.25">
      <c r="A8" s="44" t="s">
        <v>210</v>
      </c>
      <c r="B8" s="625" t="s">
        <v>211</v>
      </c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</row>
    <row r="10" spans="1:25" x14ac:dyDescent="0.2">
      <c r="U10" s="2"/>
      <c r="V10" s="2"/>
      <c r="W10" s="2"/>
    </row>
    <row r="11" spans="1:25" x14ac:dyDescent="0.2">
      <c r="B11" s="35"/>
      <c r="C11" s="35">
        <v>1991</v>
      </c>
      <c r="D11" s="35">
        <f>C11+1</f>
        <v>1992</v>
      </c>
      <c r="E11" s="35">
        <f t="shared" ref="E11:K11" si="0">D11+1</f>
        <v>1993</v>
      </c>
      <c r="F11" s="35">
        <f t="shared" si="0"/>
        <v>1994</v>
      </c>
      <c r="G11" s="35">
        <f t="shared" si="0"/>
        <v>1995</v>
      </c>
      <c r="H11" s="35">
        <f t="shared" si="0"/>
        <v>1996</v>
      </c>
      <c r="I11" s="35">
        <f t="shared" si="0"/>
        <v>1997</v>
      </c>
      <c r="J11" s="35">
        <f t="shared" si="0"/>
        <v>1998</v>
      </c>
      <c r="K11" s="35">
        <f t="shared" si="0"/>
        <v>1999</v>
      </c>
      <c r="L11" s="43">
        <v>2000</v>
      </c>
      <c r="M11" s="56">
        <v>2001</v>
      </c>
      <c r="N11" s="43">
        <v>2002</v>
      </c>
      <c r="O11" s="43">
        <v>2003</v>
      </c>
      <c r="P11" s="43">
        <v>2004</v>
      </c>
      <c r="Q11" s="50">
        <v>2005</v>
      </c>
      <c r="R11" s="50">
        <v>2006</v>
      </c>
      <c r="S11" s="9"/>
      <c r="T11" s="50">
        <v>2007</v>
      </c>
      <c r="U11" s="55">
        <v>2008</v>
      </c>
      <c r="V11" s="113">
        <v>2009</v>
      </c>
      <c r="W11" s="113">
        <v>2010</v>
      </c>
      <c r="X11" s="45">
        <v>2011</v>
      </c>
      <c r="Y11" s="45">
        <v>2012</v>
      </c>
    </row>
    <row r="13" spans="1:25" x14ac:dyDescent="0.2">
      <c r="B13" s="36" t="s">
        <v>101</v>
      </c>
      <c r="C13" s="28" t="e">
        <f>SUM(C16,#REF!,#REF!,C18,C19)</f>
        <v>#REF!</v>
      </c>
      <c r="D13" s="28" t="e">
        <f>SUM(D16,#REF!,#REF!,D18,D19)</f>
        <v>#REF!</v>
      </c>
      <c r="E13" s="28" t="e">
        <f>SUM(E16,#REF!,#REF!,E18,E19)</f>
        <v>#REF!</v>
      </c>
      <c r="F13" s="28" t="e">
        <f>SUM(F16,#REF!,#REF!,F18,F19)</f>
        <v>#REF!</v>
      </c>
      <c r="G13" s="28" t="e">
        <f>SUM(G16,#REF!,#REF!,G18,G19)</f>
        <v>#REF!</v>
      </c>
      <c r="H13" s="28" t="e">
        <f>SUM(H16,#REF!,#REF!,H18,H19)</f>
        <v>#REF!</v>
      </c>
      <c r="I13" s="28">
        <v>69</v>
      </c>
      <c r="J13" s="76">
        <f>SUM(J16:J19)</f>
        <v>75</v>
      </c>
      <c r="K13" s="90">
        <f t="shared" ref="K13:R13" si="1">SUM(K16:K19)</f>
        <v>73</v>
      </c>
      <c r="L13" s="76">
        <f t="shared" si="1"/>
        <v>103</v>
      </c>
      <c r="M13" s="76">
        <f t="shared" si="1"/>
        <v>108</v>
      </c>
      <c r="N13" s="90">
        <f t="shared" si="1"/>
        <v>101</v>
      </c>
      <c r="O13" s="76">
        <f t="shared" si="1"/>
        <v>127</v>
      </c>
      <c r="P13" s="76">
        <f t="shared" si="1"/>
        <v>116</v>
      </c>
      <c r="Q13" s="76">
        <f t="shared" si="1"/>
        <v>106</v>
      </c>
      <c r="R13" s="76">
        <f t="shared" si="1"/>
        <v>122</v>
      </c>
      <c r="T13" s="76">
        <f>SUM(T16:T19)</f>
        <v>126</v>
      </c>
      <c r="U13" s="76">
        <f>SUM(U16:U19)</f>
        <v>129</v>
      </c>
      <c r="V13" s="76">
        <f>SUM(V16:V19)</f>
        <v>130</v>
      </c>
      <c r="W13" s="76">
        <f>SUM(W16:W19)</f>
        <v>121</v>
      </c>
      <c r="X13" s="76"/>
      <c r="Y13" s="76"/>
    </row>
    <row r="14" spans="1:25" x14ac:dyDescent="0.2">
      <c r="B14" s="36"/>
      <c r="C14" s="28"/>
      <c r="D14" s="28"/>
      <c r="E14" s="28"/>
      <c r="F14" s="28"/>
      <c r="G14" s="28"/>
      <c r="H14" s="28"/>
      <c r="I14" s="28"/>
      <c r="J14" s="77"/>
      <c r="K14" s="91"/>
      <c r="L14" s="78"/>
      <c r="M14" s="78"/>
      <c r="N14" s="87"/>
      <c r="O14" s="78"/>
      <c r="P14" s="78"/>
      <c r="Q14" s="78"/>
      <c r="R14" s="87"/>
      <c r="T14" s="78"/>
    </row>
    <row r="15" spans="1:25" x14ac:dyDescent="0.2">
      <c r="B15" s="36" t="s">
        <v>167</v>
      </c>
      <c r="C15" s="28"/>
      <c r="D15" s="28"/>
      <c r="E15" s="28"/>
      <c r="F15" s="28"/>
      <c r="G15" s="28"/>
      <c r="H15" s="28"/>
      <c r="I15" s="28"/>
      <c r="J15" s="76"/>
      <c r="K15" s="76"/>
      <c r="L15" s="79"/>
      <c r="M15" s="79"/>
      <c r="N15" s="80"/>
      <c r="O15" s="80"/>
      <c r="P15" s="80"/>
      <c r="Q15" s="80"/>
      <c r="R15" s="80"/>
      <c r="T15" s="80"/>
    </row>
    <row r="16" spans="1:25" x14ac:dyDescent="0.2">
      <c r="B16" s="54" t="s">
        <v>59</v>
      </c>
      <c r="C16" s="16">
        <v>0</v>
      </c>
      <c r="D16" s="16">
        <v>13</v>
      </c>
      <c r="E16" s="16">
        <v>22</v>
      </c>
      <c r="F16" s="16">
        <v>26</v>
      </c>
      <c r="G16" s="16">
        <v>25</v>
      </c>
      <c r="H16" s="16">
        <v>27</v>
      </c>
      <c r="I16" s="16">
        <v>50</v>
      </c>
      <c r="J16" s="81">
        <v>62</v>
      </c>
      <c r="K16" s="81">
        <v>61</v>
      </c>
      <c r="L16" s="80">
        <v>89</v>
      </c>
      <c r="M16" s="80">
        <v>92</v>
      </c>
      <c r="N16" s="81">
        <v>79</v>
      </c>
      <c r="O16" s="81">
        <v>115</v>
      </c>
      <c r="P16" s="81">
        <v>87</v>
      </c>
      <c r="Q16" s="81">
        <v>87</v>
      </c>
      <c r="R16" s="81">
        <v>106</v>
      </c>
      <c r="T16" s="81">
        <v>109</v>
      </c>
      <c r="U16" s="81">
        <v>99</v>
      </c>
      <c r="V16" s="81">
        <v>97</v>
      </c>
      <c r="W16" s="81">
        <v>102</v>
      </c>
      <c r="X16" s="81"/>
      <c r="Y16" s="81"/>
    </row>
    <row r="17" spans="2:25" ht="14.25" x14ac:dyDescent="0.2">
      <c r="B17" s="54" t="s">
        <v>147</v>
      </c>
      <c r="C17" s="16"/>
      <c r="D17" s="16"/>
      <c r="E17" s="16"/>
      <c r="F17" s="16"/>
      <c r="G17" s="16"/>
      <c r="H17" s="16"/>
      <c r="I17" s="16"/>
      <c r="J17" s="81"/>
      <c r="K17" s="81"/>
      <c r="L17" s="80"/>
      <c r="M17" s="80"/>
      <c r="N17" s="81"/>
      <c r="O17" s="81"/>
      <c r="P17" s="81"/>
      <c r="Q17" s="81"/>
      <c r="R17" s="82"/>
      <c r="T17" s="82"/>
      <c r="U17" s="114">
        <v>13</v>
      </c>
      <c r="V17" s="81">
        <v>12</v>
      </c>
      <c r="W17" s="81">
        <v>9</v>
      </c>
      <c r="X17" s="81"/>
      <c r="Y17" s="81"/>
    </row>
    <row r="18" spans="2:25" ht="14.25" x14ac:dyDescent="0.2">
      <c r="B18" s="54" t="s">
        <v>100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66" t="s">
        <v>109</v>
      </c>
      <c r="I18" s="16">
        <v>3</v>
      </c>
      <c r="J18" s="81">
        <v>10</v>
      </c>
      <c r="K18" s="81">
        <v>9</v>
      </c>
      <c r="L18" s="80">
        <v>4</v>
      </c>
      <c r="M18" s="80">
        <v>5</v>
      </c>
      <c r="N18" s="81">
        <v>7</v>
      </c>
      <c r="O18" s="82" t="s">
        <v>108</v>
      </c>
      <c r="P18" s="81">
        <v>14</v>
      </c>
      <c r="Q18" s="81">
        <v>12</v>
      </c>
      <c r="R18" s="81">
        <v>2</v>
      </c>
      <c r="T18" s="81">
        <v>3</v>
      </c>
      <c r="U18" s="81">
        <v>1</v>
      </c>
      <c r="V18" s="81">
        <v>1</v>
      </c>
      <c r="W18" s="144" t="s">
        <v>109</v>
      </c>
      <c r="X18" s="144"/>
      <c r="Y18" s="144"/>
    </row>
    <row r="19" spans="2:25" ht="14.25" x14ac:dyDescent="0.2">
      <c r="B19" s="54" t="s">
        <v>61</v>
      </c>
      <c r="C19" s="16">
        <v>0</v>
      </c>
      <c r="D19" s="16">
        <v>0</v>
      </c>
      <c r="E19" s="16">
        <v>0</v>
      </c>
      <c r="F19" s="16">
        <v>8</v>
      </c>
      <c r="G19" s="16">
        <v>7</v>
      </c>
      <c r="H19" s="66" t="s">
        <v>109</v>
      </c>
      <c r="I19" s="66" t="s">
        <v>109</v>
      </c>
      <c r="J19" s="81">
        <v>3</v>
      </c>
      <c r="K19" s="81">
        <v>3</v>
      </c>
      <c r="L19" s="80">
        <v>10</v>
      </c>
      <c r="M19" s="80">
        <v>11</v>
      </c>
      <c r="N19" s="81">
        <v>15</v>
      </c>
      <c r="O19" s="81">
        <v>12</v>
      </c>
      <c r="P19" s="81">
        <v>15</v>
      </c>
      <c r="Q19" s="81">
        <v>7</v>
      </c>
      <c r="R19" s="81">
        <v>14</v>
      </c>
      <c r="T19" s="81">
        <v>14</v>
      </c>
      <c r="U19" s="81">
        <v>16</v>
      </c>
      <c r="V19" s="81">
        <v>20</v>
      </c>
      <c r="W19" s="81">
        <v>10</v>
      </c>
      <c r="X19" s="81"/>
      <c r="Y19" s="81"/>
    </row>
    <row r="20" spans="2:25" x14ac:dyDescent="0.2">
      <c r="B20" s="36"/>
      <c r="C20" s="28"/>
      <c r="D20" s="28"/>
      <c r="E20" s="28"/>
      <c r="F20" s="28"/>
      <c r="G20" s="28"/>
      <c r="H20" s="28"/>
      <c r="I20" s="28"/>
      <c r="J20" s="76"/>
      <c r="K20" s="76"/>
      <c r="L20" s="79"/>
      <c r="M20" s="79"/>
      <c r="N20" s="80"/>
      <c r="O20" s="80"/>
      <c r="P20" s="80"/>
      <c r="Q20" s="80"/>
      <c r="R20" s="80"/>
      <c r="T20" s="80"/>
    </row>
    <row r="21" spans="2:25" x14ac:dyDescent="0.2">
      <c r="B21" s="152" t="s">
        <v>168</v>
      </c>
      <c r="C21" s="16"/>
      <c r="D21" s="16"/>
      <c r="E21" s="16"/>
      <c r="F21" s="16"/>
      <c r="G21" s="16"/>
      <c r="H21" s="16"/>
      <c r="I21" s="16"/>
      <c r="J21" s="76"/>
      <c r="K21" s="76"/>
      <c r="L21" s="76"/>
      <c r="M21" s="76"/>
      <c r="N21" s="76"/>
      <c r="O21" s="76"/>
      <c r="P21" s="76"/>
      <c r="Q21" s="76"/>
      <c r="R21" s="76"/>
      <c r="T21" s="76"/>
    </row>
    <row r="22" spans="2:25" x14ac:dyDescent="0.2">
      <c r="B22" s="38" t="s">
        <v>56</v>
      </c>
      <c r="C22" s="16">
        <v>29</v>
      </c>
      <c r="D22" s="16">
        <v>30</v>
      </c>
      <c r="E22" s="16">
        <v>31</v>
      </c>
      <c r="F22" s="16">
        <v>39</v>
      </c>
      <c r="G22" s="16">
        <v>33</v>
      </c>
      <c r="H22" s="16">
        <v>22</v>
      </c>
      <c r="I22" s="16">
        <v>28</v>
      </c>
      <c r="J22" s="81">
        <v>28</v>
      </c>
      <c r="K22" s="81">
        <v>35</v>
      </c>
      <c r="L22" s="80">
        <v>51</v>
      </c>
      <c r="M22" s="80">
        <v>54</v>
      </c>
      <c r="N22" s="81">
        <v>85</v>
      </c>
      <c r="O22" s="89">
        <v>87</v>
      </c>
      <c r="P22" s="81">
        <v>100</v>
      </c>
      <c r="Q22" s="89">
        <v>73</v>
      </c>
      <c r="R22" s="81">
        <v>89</v>
      </c>
      <c r="T22" s="81">
        <v>88</v>
      </c>
      <c r="U22" s="81">
        <v>86</v>
      </c>
      <c r="V22" s="81">
        <v>94</v>
      </c>
      <c r="W22" s="81">
        <v>80</v>
      </c>
      <c r="X22" s="81"/>
      <c r="Y22" s="81"/>
    </row>
    <row r="23" spans="2:25" x14ac:dyDescent="0.2">
      <c r="B23" s="38" t="s">
        <v>57</v>
      </c>
      <c r="C23" s="16">
        <v>3</v>
      </c>
      <c r="D23" s="16">
        <v>10</v>
      </c>
      <c r="E23" s="16">
        <v>12</v>
      </c>
      <c r="F23" s="16">
        <v>11</v>
      </c>
      <c r="G23" s="16">
        <v>10</v>
      </c>
      <c r="H23" s="16">
        <v>20</v>
      </c>
      <c r="I23" s="16">
        <v>41</v>
      </c>
      <c r="J23" s="81">
        <v>67</v>
      </c>
      <c r="K23" s="81">
        <v>52</v>
      </c>
      <c r="L23" s="80">
        <v>59</v>
      </c>
      <c r="M23" s="80">
        <v>63</v>
      </c>
      <c r="N23" s="81">
        <v>27</v>
      </c>
      <c r="O23" s="89">
        <v>47</v>
      </c>
      <c r="P23" s="81">
        <v>23</v>
      </c>
      <c r="Q23" s="89">
        <v>38</v>
      </c>
      <c r="R23" s="81">
        <v>33</v>
      </c>
      <c r="T23" s="81">
        <v>38</v>
      </c>
      <c r="U23" s="81">
        <v>43</v>
      </c>
      <c r="V23" s="81">
        <v>36</v>
      </c>
      <c r="W23" s="81">
        <v>41</v>
      </c>
      <c r="X23" s="81"/>
      <c r="Y23" s="81"/>
    </row>
    <row r="24" spans="2:25" x14ac:dyDescent="0.2">
      <c r="B24" s="38"/>
      <c r="C24" s="16"/>
      <c r="D24" s="16"/>
      <c r="E24" s="16"/>
      <c r="F24" s="16"/>
      <c r="G24" s="16"/>
      <c r="H24" s="16"/>
      <c r="I24" s="16"/>
      <c r="J24" s="81"/>
      <c r="K24" s="81"/>
      <c r="L24" s="80"/>
      <c r="M24" s="80"/>
      <c r="N24" s="81"/>
      <c r="O24" s="89"/>
      <c r="P24" s="81"/>
      <c r="Q24" s="89"/>
      <c r="R24" s="81"/>
      <c r="T24" s="81"/>
      <c r="U24" s="81"/>
    </row>
    <row r="25" spans="2:25" x14ac:dyDescent="0.2">
      <c r="B25" s="152" t="s">
        <v>169</v>
      </c>
      <c r="C25" s="28"/>
      <c r="D25" s="28"/>
      <c r="E25" s="28"/>
      <c r="F25" s="28"/>
      <c r="G25" s="28"/>
      <c r="H25" s="28"/>
      <c r="I25" s="28"/>
      <c r="J25" s="76"/>
      <c r="K25" s="76"/>
      <c r="L25" s="76"/>
      <c r="M25" s="76"/>
      <c r="N25" s="76"/>
      <c r="O25" s="76"/>
      <c r="P25" s="76"/>
      <c r="Q25" s="76"/>
      <c r="R25" s="76"/>
      <c r="T25" s="76"/>
    </row>
    <row r="26" spans="2:25" x14ac:dyDescent="0.2">
      <c r="B26" s="37" t="s">
        <v>26</v>
      </c>
      <c r="C26" s="16">
        <v>19</v>
      </c>
      <c r="D26" s="16">
        <v>27</v>
      </c>
      <c r="E26" s="16">
        <v>29</v>
      </c>
      <c r="F26" s="16">
        <v>34</v>
      </c>
      <c r="G26" s="16">
        <v>24</v>
      </c>
      <c r="H26" s="16">
        <v>25</v>
      </c>
      <c r="I26" s="16">
        <v>43</v>
      </c>
      <c r="J26" s="81">
        <v>59</v>
      </c>
      <c r="K26" s="81">
        <v>56</v>
      </c>
      <c r="L26" s="80">
        <v>59</v>
      </c>
      <c r="M26" s="80">
        <v>53</v>
      </c>
      <c r="N26" s="81">
        <v>63</v>
      </c>
      <c r="O26" s="89">
        <v>80</v>
      </c>
      <c r="P26" s="81">
        <v>83</v>
      </c>
      <c r="Q26" s="88">
        <v>61</v>
      </c>
      <c r="R26" s="81">
        <v>74</v>
      </c>
      <c r="T26" s="81">
        <v>72</v>
      </c>
      <c r="U26" s="81">
        <v>74</v>
      </c>
      <c r="V26" s="81">
        <v>61</v>
      </c>
      <c r="W26" s="81">
        <v>49</v>
      </c>
      <c r="X26" s="81"/>
      <c r="Y26" s="81"/>
    </row>
    <row r="27" spans="2:25" x14ac:dyDescent="0.2">
      <c r="B27" s="37" t="s">
        <v>25</v>
      </c>
      <c r="C27" s="16">
        <v>13</v>
      </c>
      <c r="D27" s="16">
        <v>13</v>
      </c>
      <c r="E27" s="16">
        <v>14</v>
      </c>
      <c r="F27" s="16">
        <v>16</v>
      </c>
      <c r="G27" s="16">
        <v>19</v>
      </c>
      <c r="H27" s="16">
        <v>17</v>
      </c>
      <c r="I27" s="16">
        <v>26</v>
      </c>
      <c r="J27" s="81">
        <v>36</v>
      </c>
      <c r="K27" s="81">
        <v>31</v>
      </c>
      <c r="L27" s="80">
        <v>51</v>
      </c>
      <c r="M27" s="80">
        <v>64</v>
      </c>
      <c r="N27" s="81">
        <v>49</v>
      </c>
      <c r="O27" s="89">
        <v>54</v>
      </c>
      <c r="P27" s="81">
        <v>40</v>
      </c>
      <c r="Q27" s="88">
        <v>50</v>
      </c>
      <c r="R27" s="81">
        <v>48</v>
      </c>
      <c r="T27" s="81">
        <v>54</v>
      </c>
      <c r="U27" s="81">
        <v>55</v>
      </c>
      <c r="V27" s="81">
        <v>69</v>
      </c>
      <c r="W27" s="81">
        <v>72</v>
      </c>
      <c r="X27" s="81"/>
      <c r="Y27" s="81"/>
    </row>
    <row r="29" spans="2:25" x14ac:dyDescent="0.2">
      <c r="B29" s="38"/>
      <c r="C29" s="16"/>
      <c r="D29" s="16"/>
      <c r="E29" s="16"/>
      <c r="F29" s="16"/>
      <c r="G29" s="16"/>
      <c r="H29" s="16"/>
      <c r="I29" s="16"/>
      <c r="J29" s="81"/>
      <c r="K29" s="81"/>
      <c r="L29" s="80"/>
      <c r="M29" s="80"/>
      <c r="N29" s="81"/>
      <c r="O29" s="89"/>
      <c r="P29" s="81"/>
      <c r="Q29" s="89"/>
      <c r="R29" s="81"/>
      <c r="T29" s="81"/>
      <c r="U29" s="81"/>
    </row>
    <row r="30" spans="2:25" s="4" customFormat="1" ht="14.25" x14ac:dyDescent="0.2">
      <c r="B30" s="70" t="s">
        <v>58</v>
      </c>
      <c r="C30" s="42" t="e">
        <f>SUM(C31,C32,#REF!,#REF!,C34)</f>
        <v>#REF!</v>
      </c>
      <c r="D30" s="42" t="e">
        <f>SUM(D31,D32,#REF!,#REF!,D34)</f>
        <v>#REF!</v>
      </c>
      <c r="E30" s="42" t="e">
        <f>SUM(E31,E32,#REF!,#REF!,E34)</f>
        <v>#REF!</v>
      </c>
      <c r="F30" s="42" t="e">
        <f>SUM(F31,F32,#REF!,#REF!,F34)</f>
        <v>#REF!</v>
      </c>
      <c r="G30" s="42" t="e">
        <f>SUM(G31,G32,#REF!,#REF!,G34)</f>
        <v>#REF!</v>
      </c>
      <c r="H30" s="42" t="e">
        <f>SUM(H31,H32,#REF!,#REF!,H34)</f>
        <v>#REF!</v>
      </c>
      <c r="I30" s="42">
        <v>12</v>
      </c>
      <c r="J30" s="83">
        <v>11</v>
      </c>
      <c r="K30" s="83">
        <v>22</v>
      </c>
      <c r="L30" s="79">
        <f>SUM(L31:L34)</f>
        <v>19</v>
      </c>
      <c r="M30" s="79">
        <f t="shared" ref="M30:R30" si="2">SUM(M31:M34)</f>
        <v>19</v>
      </c>
      <c r="N30" s="79">
        <f t="shared" si="2"/>
        <v>17</v>
      </c>
      <c r="O30" s="79">
        <f t="shared" si="2"/>
        <v>33</v>
      </c>
      <c r="P30" s="79">
        <f t="shared" si="2"/>
        <v>22</v>
      </c>
      <c r="Q30" s="84" t="s">
        <v>109</v>
      </c>
      <c r="R30" s="85">
        <f t="shared" si="2"/>
        <v>29</v>
      </c>
      <c r="T30" s="85">
        <f>SUM(T31:T34)</f>
        <v>34</v>
      </c>
      <c r="U30" s="85">
        <f>SUM(U31:U34)</f>
        <v>36</v>
      </c>
      <c r="V30" s="85">
        <f>SUM(V31:V34)</f>
        <v>23</v>
      </c>
      <c r="W30" s="147" t="s">
        <v>108</v>
      </c>
      <c r="X30" s="147"/>
      <c r="Y30" s="147"/>
    </row>
    <row r="31" spans="2:25" ht="14.25" x14ac:dyDescent="0.2">
      <c r="B31" s="54" t="s">
        <v>150</v>
      </c>
      <c r="C31" s="16">
        <v>0</v>
      </c>
      <c r="D31" s="16">
        <v>0</v>
      </c>
      <c r="E31" s="16">
        <v>0</v>
      </c>
      <c r="F31" s="16">
        <v>11</v>
      </c>
      <c r="G31" s="16">
        <v>10</v>
      </c>
      <c r="H31" s="16">
        <v>6</v>
      </c>
      <c r="I31" s="16">
        <v>10</v>
      </c>
      <c r="J31" s="81">
        <v>9</v>
      </c>
      <c r="K31" s="81">
        <v>19</v>
      </c>
      <c r="L31" s="80">
        <v>18</v>
      </c>
      <c r="M31" s="80">
        <v>15</v>
      </c>
      <c r="N31" s="81">
        <v>15</v>
      </c>
      <c r="O31" s="81">
        <v>23</v>
      </c>
      <c r="P31" s="81">
        <v>11</v>
      </c>
      <c r="Q31" s="82" t="s">
        <v>109</v>
      </c>
      <c r="R31" s="86">
        <v>22</v>
      </c>
      <c r="T31" s="86">
        <v>24</v>
      </c>
      <c r="U31" s="81">
        <v>24</v>
      </c>
      <c r="V31" s="114">
        <v>15</v>
      </c>
      <c r="W31" s="147" t="s">
        <v>108</v>
      </c>
      <c r="X31" s="147"/>
      <c r="Y31" s="147"/>
    </row>
    <row r="32" spans="2:25" ht="14.25" x14ac:dyDescent="0.2">
      <c r="B32" s="3" t="s">
        <v>60</v>
      </c>
      <c r="C32" s="16">
        <v>0</v>
      </c>
      <c r="D32" s="16">
        <v>1</v>
      </c>
      <c r="E32" s="16">
        <v>2</v>
      </c>
      <c r="F32" s="16">
        <v>3</v>
      </c>
      <c r="G32" s="16">
        <v>2</v>
      </c>
      <c r="H32" s="16">
        <v>1</v>
      </c>
      <c r="I32" s="16">
        <v>2</v>
      </c>
      <c r="J32" s="81">
        <v>2</v>
      </c>
      <c r="K32" s="81">
        <v>1</v>
      </c>
      <c r="L32" s="80">
        <v>1</v>
      </c>
      <c r="M32" s="80">
        <v>4</v>
      </c>
      <c r="N32" s="81">
        <v>2</v>
      </c>
      <c r="O32" s="81">
        <v>4</v>
      </c>
      <c r="P32" s="81">
        <v>3</v>
      </c>
      <c r="Q32" s="82" t="s">
        <v>109</v>
      </c>
      <c r="R32" s="82" t="s">
        <v>109</v>
      </c>
      <c r="T32" s="82" t="s">
        <v>109</v>
      </c>
      <c r="U32" s="82" t="s">
        <v>109</v>
      </c>
      <c r="V32" s="82" t="s">
        <v>109</v>
      </c>
      <c r="W32" s="147" t="s">
        <v>108</v>
      </c>
      <c r="X32" s="147"/>
      <c r="Y32" s="147"/>
    </row>
    <row r="33" spans="2:25" ht="14.25" x14ac:dyDescent="0.2">
      <c r="B33" s="3" t="s">
        <v>148</v>
      </c>
      <c r="C33" s="16"/>
      <c r="D33" s="16"/>
      <c r="E33" s="16"/>
      <c r="F33" s="16"/>
      <c r="G33" s="16"/>
      <c r="H33" s="16"/>
      <c r="I33" s="16"/>
      <c r="J33" s="81"/>
      <c r="K33" s="81"/>
      <c r="L33" s="80"/>
      <c r="M33" s="80"/>
      <c r="N33" s="81"/>
      <c r="O33" s="81"/>
      <c r="P33" s="81"/>
      <c r="Q33" s="82"/>
      <c r="R33" s="82"/>
      <c r="T33" s="82"/>
      <c r="U33" s="81">
        <v>2</v>
      </c>
      <c r="V33" s="82" t="s">
        <v>109</v>
      </c>
      <c r="W33" s="147" t="s">
        <v>108</v>
      </c>
      <c r="X33" s="147"/>
      <c r="Y33" s="147"/>
    </row>
    <row r="34" spans="2:25" ht="14.25" x14ac:dyDescent="0.2">
      <c r="B34" s="54" t="s">
        <v>61</v>
      </c>
      <c r="C34" s="16">
        <v>0</v>
      </c>
      <c r="D34" s="16">
        <v>0</v>
      </c>
      <c r="E34" s="16">
        <v>0</v>
      </c>
      <c r="F34" s="16">
        <v>0</v>
      </c>
      <c r="G34" s="16">
        <v>8</v>
      </c>
      <c r="H34" s="16">
        <v>7</v>
      </c>
      <c r="I34" s="66" t="s">
        <v>109</v>
      </c>
      <c r="J34" s="82" t="s">
        <v>109</v>
      </c>
      <c r="K34" s="82" t="s">
        <v>109</v>
      </c>
      <c r="L34" s="82" t="s">
        <v>109</v>
      </c>
      <c r="M34" s="82" t="s">
        <v>109</v>
      </c>
      <c r="N34" s="82" t="s">
        <v>109</v>
      </c>
      <c r="O34" s="81">
        <v>6</v>
      </c>
      <c r="P34" s="81">
        <v>8</v>
      </c>
      <c r="Q34" s="82" t="s">
        <v>109</v>
      </c>
      <c r="R34" s="81">
        <v>7</v>
      </c>
      <c r="T34" s="81">
        <v>10</v>
      </c>
      <c r="U34" s="81">
        <v>10</v>
      </c>
      <c r="V34" s="114">
        <v>8</v>
      </c>
      <c r="W34" s="147" t="s">
        <v>108</v>
      </c>
      <c r="X34" s="147"/>
      <c r="Y34" s="147"/>
    </row>
    <row r="35" spans="2:25" x14ac:dyDescent="0.2">
      <c r="B35" s="38"/>
      <c r="C35" s="16"/>
      <c r="D35" s="16"/>
      <c r="E35" s="16"/>
      <c r="F35" s="16"/>
      <c r="G35" s="16"/>
      <c r="H35" s="16"/>
      <c r="I35" s="16"/>
      <c r="J35" s="81"/>
      <c r="K35" s="81"/>
      <c r="L35" s="80"/>
      <c r="M35" s="80"/>
      <c r="N35" s="81"/>
      <c r="O35" s="89"/>
      <c r="P35" s="81"/>
      <c r="Q35" s="89"/>
      <c r="R35" s="81"/>
      <c r="T35" s="81"/>
      <c r="U35" s="81"/>
      <c r="W35" s="29"/>
      <c r="X35" s="29"/>
      <c r="Y35" s="29"/>
    </row>
    <row r="36" spans="2:25" ht="14.25" x14ac:dyDescent="0.2">
      <c r="B36" s="152" t="s">
        <v>168</v>
      </c>
      <c r="C36" s="16"/>
      <c r="D36" s="16"/>
      <c r="E36" s="16"/>
      <c r="F36" s="16"/>
      <c r="G36" s="16"/>
      <c r="H36" s="16"/>
      <c r="I36" s="16"/>
      <c r="J36" s="81"/>
      <c r="K36" s="81"/>
      <c r="L36" s="80"/>
      <c r="M36" s="80"/>
      <c r="N36" s="81"/>
      <c r="O36" s="89"/>
      <c r="P36" s="81"/>
      <c r="Q36" s="89"/>
      <c r="R36" s="81"/>
      <c r="T36" s="81"/>
      <c r="U36" s="83">
        <f>SUM(U37:U38)</f>
        <v>36</v>
      </c>
      <c r="V36" s="83">
        <f>SUM(V37:V38)</f>
        <v>23</v>
      </c>
      <c r="W36" s="147" t="s">
        <v>108</v>
      </c>
      <c r="X36" s="147"/>
      <c r="Y36" s="147"/>
    </row>
    <row r="37" spans="2:25" ht="14.25" x14ac:dyDescent="0.2">
      <c r="B37" s="38" t="s">
        <v>56</v>
      </c>
      <c r="I37" s="16"/>
      <c r="J37" s="81"/>
      <c r="K37" s="81"/>
      <c r="L37" s="81"/>
      <c r="M37" s="81"/>
      <c r="N37" s="81"/>
      <c r="O37" s="89"/>
      <c r="P37" s="81"/>
      <c r="Q37" s="89"/>
      <c r="R37" s="81"/>
      <c r="T37" s="81"/>
      <c r="U37" s="81">
        <v>26</v>
      </c>
      <c r="V37" s="114">
        <v>17</v>
      </c>
      <c r="W37" s="147" t="s">
        <v>108</v>
      </c>
      <c r="X37" s="147"/>
      <c r="Y37" s="147"/>
    </row>
    <row r="38" spans="2:25" ht="14.25" x14ac:dyDescent="0.2">
      <c r="B38" s="38" t="s">
        <v>57</v>
      </c>
      <c r="I38" s="16"/>
      <c r="J38" s="81"/>
      <c r="K38" s="81"/>
      <c r="L38" s="80"/>
      <c r="M38" s="80"/>
      <c r="N38" s="80"/>
      <c r="O38" s="80"/>
      <c r="P38" s="80"/>
      <c r="Q38" s="80"/>
      <c r="R38" s="80"/>
      <c r="T38" s="80"/>
      <c r="U38" s="81">
        <v>10</v>
      </c>
      <c r="V38" s="114">
        <v>6</v>
      </c>
      <c r="W38" s="147" t="s">
        <v>108</v>
      </c>
      <c r="X38" s="147"/>
      <c r="Y38" s="147"/>
    </row>
    <row r="39" spans="2:25" x14ac:dyDescent="0.2">
      <c r="B39" s="38"/>
      <c r="I39" s="16"/>
      <c r="J39" s="81"/>
      <c r="K39" s="81"/>
      <c r="L39" s="80"/>
      <c r="M39" s="80"/>
      <c r="N39" s="80"/>
      <c r="O39" s="80"/>
      <c r="P39" s="80"/>
      <c r="Q39" s="80"/>
      <c r="R39" s="80"/>
      <c r="T39" s="80"/>
      <c r="U39" s="81"/>
      <c r="W39" s="29"/>
      <c r="X39" s="29"/>
      <c r="Y39" s="29"/>
    </row>
    <row r="40" spans="2:25" ht="14.25" x14ac:dyDescent="0.2">
      <c r="B40" s="152" t="s">
        <v>169</v>
      </c>
      <c r="I40" s="16"/>
      <c r="J40" s="81"/>
      <c r="K40" s="81"/>
      <c r="L40" s="80"/>
      <c r="M40" s="80"/>
      <c r="N40" s="80"/>
      <c r="O40" s="80"/>
      <c r="P40" s="80"/>
      <c r="Q40" s="80"/>
      <c r="R40" s="80"/>
      <c r="T40" s="80"/>
      <c r="U40" s="83">
        <f>SUM(U41:U42)</f>
        <v>36</v>
      </c>
      <c r="V40" s="83">
        <f>SUM(V41:V42)</f>
        <v>23</v>
      </c>
      <c r="W40" s="147" t="s">
        <v>108</v>
      </c>
      <c r="X40" s="147"/>
      <c r="Y40" s="147"/>
    </row>
    <row r="41" spans="2:25" ht="14.25" x14ac:dyDescent="0.2">
      <c r="B41" s="38" t="s">
        <v>26</v>
      </c>
      <c r="I41" s="16"/>
      <c r="J41" s="81"/>
      <c r="K41" s="81"/>
      <c r="L41" s="80"/>
      <c r="M41" s="80"/>
      <c r="N41" s="80"/>
      <c r="O41" s="80"/>
      <c r="P41" s="80"/>
      <c r="Q41" s="80"/>
      <c r="R41" s="80"/>
      <c r="T41" s="80"/>
      <c r="U41" s="81">
        <v>25</v>
      </c>
      <c r="V41" s="114">
        <v>17</v>
      </c>
      <c r="W41" s="147" t="s">
        <v>108</v>
      </c>
      <c r="X41" s="147"/>
      <c r="Y41" s="147"/>
    </row>
    <row r="42" spans="2:25" ht="14.25" x14ac:dyDescent="0.2">
      <c r="B42" s="38" t="s">
        <v>25</v>
      </c>
      <c r="I42" s="16"/>
      <c r="J42" s="81"/>
      <c r="K42" s="81"/>
      <c r="L42" s="80"/>
      <c r="M42" s="80"/>
      <c r="N42" s="80"/>
      <c r="O42" s="80"/>
      <c r="P42" s="80"/>
      <c r="Q42" s="80"/>
      <c r="R42" s="80"/>
      <c r="T42" s="80"/>
      <c r="U42" s="81">
        <v>11</v>
      </c>
      <c r="V42" s="114">
        <v>6</v>
      </c>
      <c r="W42" s="147" t="s">
        <v>108</v>
      </c>
      <c r="X42" s="147"/>
      <c r="Y42" s="147"/>
    </row>
    <row r="43" spans="2:25" x14ac:dyDescent="0.2">
      <c r="B43" s="38"/>
      <c r="I43" s="16"/>
      <c r="J43" s="81"/>
      <c r="K43" s="81"/>
      <c r="L43" s="80"/>
      <c r="M43" s="80"/>
      <c r="N43" s="80"/>
      <c r="O43" s="80"/>
      <c r="P43" s="80"/>
      <c r="Q43" s="80"/>
      <c r="R43" s="80"/>
      <c r="T43" s="80"/>
    </row>
    <row r="44" spans="2:25" ht="12.75" hidden="1" customHeight="1" outlineLevel="1" x14ac:dyDescent="0.2">
      <c r="B44" s="34" t="s">
        <v>56</v>
      </c>
      <c r="C44" s="16">
        <v>0</v>
      </c>
      <c r="D44" s="16"/>
      <c r="E44" s="16"/>
      <c r="F44" s="16"/>
      <c r="G44" s="16">
        <v>8</v>
      </c>
      <c r="H44" s="16">
        <v>7</v>
      </c>
      <c r="I44" s="16"/>
      <c r="J44" s="81"/>
      <c r="K44" s="81"/>
      <c r="L44" s="80"/>
      <c r="M44" s="80"/>
      <c r="N44" s="80"/>
      <c r="O44" s="80"/>
      <c r="P44" s="81"/>
      <c r="Q44" s="82" t="s">
        <v>109</v>
      </c>
      <c r="R44" s="86"/>
      <c r="T44" s="86" t="s">
        <v>113</v>
      </c>
      <c r="V44" s="82" t="s">
        <v>108</v>
      </c>
      <c r="W44" s="82" t="s">
        <v>108</v>
      </c>
      <c r="X44" s="82"/>
      <c r="Y44" s="82"/>
    </row>
    <row r="45" spans="2:25" ht="12.75" hidden="1" customHeight="1" outlineLevel="1" x14ac:dyDescent="0.2">
      <c r="B45" s="34" t="s">
        <v>57</v>
      </c>
      <c r="C45" s="16">
        <v>0</v>
      </c>
      <c r="D45" s="16"/>
      <c r="E45" s="16"/>
      <c r="F45" s="16"/>
      <c r="G45" s="16"/>
      <c r="H45" s="16">
        <v>7</v>
      </c>
      <c r="I45" s="16"/>
      <c r="J45" s="81"/>
      <c r="K45" s="81"/>
      <c r="L45" s="80"/>
      <c r="M45" s="80"/>
      <c r="N45" s="80"/>
      <c r="O45" s="80"/>
      <c r="P45" s="81"/>
      <c r="Q45" s="82" t="s">
        <v>108</v>
      </c>
      <c r="R45" s="86"/>
      <c r="T45" s="86" t="s">
        <v>113</v>
      </c>
      <c r="V45" s="82" t="s">
        <v>108</v>
      </c>
      <c r="W45" s="82" t="s">
        <v>108</v>
      </c>
      <c r="X45" s="82"/>
      <c r="Y45" s="82"/>
    </row>
    <row r="46" spans="2:25" ht="12.75" hidden="1" customHeight="1" outlineLevel="1" x14ac:dyDescent="0.2">
      <c r="B46" s="6" t="s">
        <v>7</v>
      </c>
      <c r="C46" s="16">
        <v>0</v>
      </c>
      <c r="D46" s="16"/>
      <c r="E46" s="16"/>
      <c r="F46" s="16"/>
      <c r="G46" s="16"/>
      <c r="H46" s="16"/>
      <c r="I46" s="16"/>
      <c r="J46" s="81"/>
      <c r="K46" s="81"/>
      <c r="L46" s="80"/>
      <c r="M46" s="80"/>
      <c r="N46" s="80"/>
      <c r="O46" s="80"/>
      <c r="P46" s="81"/>
      <c r="Q46" s="82" t="s">
        <v>108</v>
      </c>
      <c r="R46" s="86"/>
      <c r="T46" s="86" t="s">
        <v>113</v>
      </c>
      <c r="V46" s="82" t="s">
        <v>108</v>
      </c>
      <c r="W46" s="82" t="s">
        <v>108</v>
      </c>
      <c r="X46" s="82"/>
      <c r="Y46" s="82"/>
    </row>
    <row r="47" spans="2:25" ht="12.75" hidden="1" customHeight="1" outlineLevel="1" x14ac:dyDescent="0.2">
      <c r="B47" s="6" t="s">
        <v>8</v>
      </c>
      <c r="C47" s="16">
        <v>0</v>
      </c>
      <c r="D47" s="16"/>
      <c r="E47" s="16"/>
      <c r="F47" s="16"/>
      <c r="G47" s="16"/>
      <c r="H47" s="16"/>
      <c r="I47" s="16"/>
      <c r="J47" s="81"/>
      <c r="K47" s="81"/>
      <c r="L47" s="80"/>
      <c r="M47" s="80"/>
      <c r="N47" s="80"/>
      <c r="O47" s="80"/>
      <c r="P47" s="81"/>
      <c r="Q47" s="82" t="s">
        <v>108</v>
      </c>
      <c r="R47" s="86"/>
      <c r="T47" s="86" t="s">
        <v>113</v>
      </c>
      <c r="V47" s="82" t="s">
        <v>108</v>
      </c>
      <c r="W47" s="82" t="s">
        <v>108</v>
      </c>
      <c r="X47" s="82"/>
      <c r="Y47" s="82"/>
    </row>
    <row r="48" spans="2:25" ht="14.25" hidden="1" x14ac:dyDescent="0.2">
      <c r="C48" s="16"/>
      <c r="D48" s="16"/>
      <c r="E48" s="16"/>
      <c r="F48" s="16"/>
      <c r="G48" s="16"/>
      <c r="H48" s="16"/>
      <c r="I48" s="16"/>
      <c r="J48" s="81"/>
      <c r="K48" s="81"/>
      <c r="L48" s="80"/>
      <c r="M48" s="80"/>
      <c r="N48" s="80"/>
      <c r="O48" s="80"/>
      <c r="P48" s="81"/>
      <c r="Q48" s="82" t="s">
        <v>108</v>
      </c>
      <c r="R48" s="86"/>
      <c r="T48" s="86" t="s">
        <v>113</v>
      </c>
      <c r="V48" s="82" t="s">
        <v>108</v>
      </c>
      <c r="W48" s="82" t="s">
        <v>108</v>
      </c>
      <c r="X48" s="82"/>
      <c r="Y48" s="82"/>
    </row>
    <row r="49" spans="1:25" s="4" customFormat="1" x14ac:dyDescent="0.2">
      <c r="B49" s="70" t="s">
        <v>62</v>
      </c>
      <c r="C49" s="42"/>
      <c r="D49" s="42">
        <v>6</v>
      </c>
      <c r="E49" s="42">
        <v>6</v>
      </c>
      <c r="F49" s="42">
        <v>6</v>
      </c>
      <c r="G49" s="42">
        <v>6</v>
      </c>
      <c r="H49" s="42">
        <v>6</v>
      </c>
      <c r="I49" s="42">
        <v>7</v>
      </c>
      <c r="J49" s="83">
        <f t="shared" ref="J49:P49" si="3">SUM(J51+J50)</f>
        <v>7</v>
      </c>
      <c r="K49" s="83">
        <f t="shared" si="3"/>
        <v>8</v>
      </c>
      <c r="L49" s="83">
        <f t="shared" si="3"/>
        <v>8</v>
      </c>
      <c r="M49" s="83">
        <f t="shared" si="3"/>
        <v>9</v>
      </c>
      <c r="N49" s="83">
        <f t="shared" si="3"/>
        <v>10</v>
      </c>
      <c r="O49" s="83">
        <f t="shared" si="3"/>
        <v>10</v>
      </c>
      <c r="P49" s="83">
        <f t="shared" si="3"/>
        <v>11</v>
      </c>
      <c r="Q49" s="83">
        <f>SUM(Q50:Q51)</f>
        <v>10</v>
      </c>
      <c r="R49" s="83">
        <f>SUM(R50:R51)</f>
        <v>12</v>
      </c>
      <c r="T49" s="83">
        <f>SUM(T50:T51)</f>
        <v>12</v>
      </c>
      <c r="U49" s="83">
        <f>SUM(U50:U51)</f>
        <v>12</v>
      </c>
      <c r="V49" s="83">
        <f>SUM(V50:V51)</f>
        <v>12</v>
      </c>
      <c r="W49" s="83">
        <f>SUM(W50:W51)</f>
        <v>12</v>
      </c>
      <c r="X49" s="83"/>
      <c r="Y49" s="83"/>
    </row>
    <row r="50" spans="1:25" s="4" customFormat="1" x14ac:dyDescent="0.2">
      <c r="B50" s="54" t="s">
        <v>26</v>
      </c>
      <c r="C50" s="16">
        <v>1</v>
      </c>
      <c r="D50" s="16">
        <v>1</v>
      </c>
      <c r="E50" s="16">
        <v>2</v>
      </c>
      <c r="F50" s="16">
        <v>2</v>
      </c>
      <c r="G50" s="16">
        <v>2</v>
      </c>
      <c r="H50" s="16">
        <v>2</v>
      </c>
      <c r="I50" s="16">
        <v>2</v>
      </c>
      <c r="J50" s="81">
        <v>2</v>
      </c>
      <c r="K50" s="81">
        <v>3</v>
      </c>
      <c r="L50" s="80">
        <v>3</v>
      </c>
      <c r="M50" s="80">
        <v>4</v>
      </c>
      <c r="N50" s="81">
        <v>5</v>
      </c>
      <c r="O50" s="81">
        <v>5</v>
      </c>
      <c r="P50" s="81">
        <v>6</v>
      </c>
      <c r="Q50" s="81">
        <v>6</v>
      </c>
      <c r="R50" s="81">
        <v>7</v>
      </c>
      <c r="T50" s="81">
        <v>7</v>
      </c>
      <c r="U50" s="81">
        <v>6</v>
      </c>
      <c r="V50" s="81">
        <v>6</v>
      </c>
      <c r="W50" s="81">
        <v>4</v>
      </c>
      <c r="X50" s="81"/>
      <c r="Y50" s="81"/>
    </row>
    <row r="51" spans="1:25" x14ac:dyDescent="0.2">
      <c r="B51" s="54" t="s">
        <v>25</v>
      </c>
      <c r="C51" s="16">
        <v>5</v>
      </c>
      <c r="D51" s="16">
        <v>5</v>
      </c>
      <c r="E51" s="16">
        <v>4</v>
      </c>
      <c r="F51" s="16">
        <v>4</v>
      </c>
      <c r="G51" s="16">
        <v>4</v>
      </c>
      <c r="H51" s="16">
        <v>4</v>
      </c>
      <c r="I51" s="16">
        <v>5</v>
      </c>
      <c r="J51" s="81">
        <v>5</v>
      </c>
      <c r="K51" s="81">
        <v>5</v>
      </c>
      <c r="L51" s="80">
        <v>5</v>
      </c>
      <c r="M51" s="80">
        <v>5</v>
      </c>
      <c r="N51" s="81">
        <v>5</v>
      </c>
      <c r="O51" s="81">
        <v>5</v>
      </c>
      <c r="P51" s="81">
        <v>5</v>
      </c>
      <c r="Q51" s="81">
        <v>4</v>
      </c>
      <c r="R51" s="81">
        <v>5</v>
      </c>
      <c r="T51" s="81">
        <v>5</v>
      </c>
      <c r="U51" s="81">
        <v>6</v>
      </c>
      <c r="V51" s="81">
        <v>6</v>
      </c>
      <c r="W51" s="81">
        <v>8</v>
      </c>
      <c r="X51" s="81"/>
      <c r="Y51" s="81"/>
    </row>
    <row r="53" spans="1:25" x14ac:dyDescent="0.2">
      <c r="A53" s="1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9"/>
      <c r="B54" s="151" t="s">
        <v>175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6" spans="1:25" x14ac:dyDescent="0.2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S56" s="80" t="s">
        <v>0</v>
      </c>
    </row>
    <row r="62" spans="1:2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25" s="58" customFormat="1" ht="9" customHeight="1" x14ac:dyDescent="0.2"/>
    <row r="64" spans="1:25" x14ac:dyDescent="0.2">
      <c r="A64" s="624" t="e">
        <f>'3.06a'!A69:L69+1</f>
        <v>#VALUE!</v>
      </c>
      <c r="B64" s="624"/>
      <c r="C64" s="624"/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24"/>
      <c r="U64" s="624"/>
      <c r="V64" s="624"/>
      <c r="W64" s="624"/>
    </row>
  </sheetData>
  <mergeCells count="3">
    <mergeCell ref="M4:W4"/>
    <mergeCell ref="B8:W8"/>
    <mergeCell ref="A64:W64"/>
  </mergeCells>
  <phoneticPr fontId="0" type="noConversion"/>
  <pageMargins left="0.75" right="0.75" top="1" bottom="0.99" header="0.52" footer="0.5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57150</xdr:rowOff>
              </from>
              <to>
                <xdr:col>1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Y54"/>
  <sheetViews>
    <sheetView workbookViewId="0">
      <selection activeCell="R1" sqref="R1:R65536"/>
    </sheetView>
  </sheetViews>
  <sheetFormatPr defaultRowHeight="12.75" outlineLevelCol="1" x14ac:dyDescent="0.2"/>
  <cols>
    <col min="1" max="1" width="6.42578125" customWidth="1"/>
    <col min="2" max="2" width="1.7109375" customWidth="1"/>
    <col min="3" max="3" width="27.5703125" customWidth="1"/>
    <col min="4" max="4" width="0.42578125" customWidth="1"/>
    <col min="5" max="14" width="8.7109375" hidden="1" customWidth="1" outlineLevel="1"/>
    <col min="15" max="15" width="8.7109375" hidden="1" customWidth="1" collapsed="1"/>
    <col min="16" max="18" width="8.7109375" hidden="1" customWidth="1"/>
    <col min="19" max="20" width="8.7109375" customWidth="1"/>
    <col min="21" max="21" width="1.7109375" customWidth="1"/>
    <col min="22" max="22" width="8.7109375" customWidth="1"/>
    <col min="23" max="23" width="9" customWidth="1"/>
    <col min="24" max="25" width="8.42578125" customWidth="1"/>
  </cols>
  <sheetData>
    <row r="1" spans="1:25" ht="15.75" x14ac:dyDescent="0.25">
      <c r="A1" s="1" t="e">
        <f>#REF!</f>
        <v>#REF!</v>
      </c>
      <c r="B1" s="12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25" x14ac:dyDescent="0.2">
      <c r="W3" s="3"/>
    </row>
    <row r="4" spans="1:25" ht="14.25" x14ac:dyDescent="0.2">
      <c r="E4" s="21">
        <v>1980</v>
      </c>
      <c r="F4" s="21">
        <v>1981</v>
      </c>
      <c r="G4" s="21">
        <v>1982</v>
      </c>
      <c r="H4" s="21">
        <v>1983</v>
      </c>
      <c r="I4" s="21">
        <v>1984</v>
      </c>
      <c r="J4" s="21">
        <v>1985</v>
      </c>
      <c r="K4" s="21">
        <v>1986</v>
      </c>
      <c r="L4" s="21">
        <v>1987</v>
      </c>
      <c r="M4" s="21">
        <v>1988</v>
      </c>
      <c r="N4" s="21">
        <v>1989</v>
      </c>
      <c r="O4" s="21">
        <v>1990</v>
      </c>
      <c r="P4" s="21">
        <v>1991</v>
      </c>
      <c r="Q4" s="21">
        <v>1992</v>
      </c>
      <c r="R4" s="21">
        <v>1993</v>
      </c>
      <c r="S4" s="21">
        <v>1994</v>
      </c>
      <c r="T4" s="21">
        <v>1995</v>
      </c>
      <c r="U4" s="41">
        <v>1</v>
      </c>
      <c r="V4" s="21">
        <v>1996</v>
      </c>
      <c r="W4" s="21">
        <v>1997</v>
      </c>
      <c r="X4" s="21">
        <v>1998</v>
      </c>
      <c r="Y4" s="21">
        <v>1999</v>
      </c>
    </row>
    <row r="6" spans="1:25" x14ac:dyDescent="0.2">
      <c r="D6" s="10" t="s">
        <v>76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9" spans="1:25" x14ac:dyDescent="0.2">
      <c r="B9" s="5" t="s">
        <v>64</v>
      </c>
    </row>
    <row r="10" spans="1:25" x14ac:dyDescent="0.2">
      <c r="C10" t="s">
        <v>65</v>
      </c>
      <c r="O10" s="16">
        <v>126</v>
      </c>
      <c r="P10" s="16">
        <v>101</v>
      </c>
      <c r="Q10" s="16">
        <v>122</v>
      </c>
      <c r="R10" s="16">
        <v>97</v>
      </c>
      <c r="S10" s="16">
        <v>104</v>
      </c>
      <c r="T10" s="16">
        <v>0</v>
      </c>
      <c r="U10" s="16"/>
      <c r="V10" s="16"/>
    </row>
    <row r="11" spans="1:25" x14ac:dyDescent="0.2">
      <c r="C11" t="s">
        <v>66</v>
      </c>
      <c r="O11" s="16">
        <v>77</v>
      </c>
      <c r="P11" s="16">
        <v>42</v>
      </c>
      <c r="Q11" s="16">
        <v>67</v>
      </c>
      <c r="R11" s="16">
        <v>58</v>
      </c>
      <c r="S11" s="16">
        <v>68</v>
      </c>
      <c r="T11" s="16">
        <v>0</v>
      </c>
      <c r="U11" s="16"/>
      <c r="V11" s="16"/>
    </row>
    <row r="12" spans="1:25" x14ac:dyDescent="0.2">
      <c r="C12" t="s">
        <v>67</v>
      </c>
      <c r="O12" s="16">
        <f>-(O11/O10*100)</f>
        <v>-61.111111111111114</v>
      </c>
      <c r="P12" s="16">
        <f>-(P11/P10*100)</f>
        <v>-41.584158415841586</v>
      </c>
      <c r="Q12" s="16">
        <f>-(Q11/Q10*100)</f>
        <v>-54.918032786885249</v>
      </c>
      <c r="R12" s="16">
        <f>-(R11/R10*100)</f>
        <v>-59.793814432989691</v>
      </c>
      <c r="S12" s="16">
        <f>-(S11/S10*100)</f>
        <v>-65.384615384615387</v>
      </c>
      <c r="T12" s="16" t="s">
        <v>0</v>
      </c>
      <c r="U12" s="16"/>
      <c r="V12" s="16"/>
    </row>
    <row r="13" spans="1:25" x14ac:dyDescent="0.2">
      <c r="O13" s="16"/>
      <c r="P13" s="16"/>
      <c r="Q13" s="16"/>
      <c r="R13" s="16"/>
      <c r="S13" s="16"/>
      <c r="T13" s="16"/>
      <c r="U13" s="16"/>
      <c r="V13" s="16"/>
    </row>
    <row r="14" spans="1:25" x14ac:dyDescent="0.2">
      <c r="B14" s="5" t="s">
        <v>68</v>
      </c>
      <c r="O14" s="16"/>
      <c r="P14" s="16"/>
      <c r="Q14" s="16"/>
      <c r="R14" s="16"/>
      <c r="S14" s="16"/>
      <c r="T14" s="16"/>
      <c r="U14" s="16"/>
      <c r="V14" s="16"/>
    </row>
    <row r="15" spans="1:25" x14ac:dyDescent="0.2">
      <c r="C15" t="s">
        <v>65</v>
      </c>
      <c r="O15" s="16">
        <v>57</v>
      </c>
      <c r="P15" s="16">
        <v>65</v>
      </c>
      <c r="Q15" s="16">
        <v>48</v>
      </c>
      <c r="R15" s="16">
        <v>58</v>
      </c>
      <c r="S15" s="16">
        <v>37</v>
      </c>
      <c r="T15" s="16">
        <v>0</v>
      </c>
      <c r="U15" s="16"/>
      <c r="V15" s="16"/>
    </row>
    <row r="16" spans="1:25" x14ac:dyDescent="0.2">
      <c r="C16" t="s">
        <v>69</v>
      </c>
      <c r="O16" s="16">
        <v>36</v>
      </c>
      <c r="P16" s="16">
        <v>38</v>
      </c>
      <c r="Q16" s="16">
        <v>24</v>
      </c>
      <c r="R16" s="16">
        <v>18</v>
      </c>
      <c r="S16" s="16">
        <v>25</v>
      </c>
      <c r="T16" s="16">
        <v>0</v>
      </c>
      <c r="U16" s="16"/>
      <c r="V16" s="16"/>
    </row>
    <row r="17" spans="2:22" x14ac:dyDescent="0.2">
      <c r="C17" t="s">
        <v>67</v>
      </c>
      <c r="O17" s="16">
        <f>-(O16/O15*100)</f>
        <v>-63.157894736842103</v>
      </c>
      <c r="P17" s="16">
        <f>-(P16/P15*100)</f>
        <v>-58.461538461538467</v>
      </c>
      <c r="Q17" s="16">
        <f>-(Q16/Q15*100)</f>
        <v>-50</v>
      </c>
      <c r="R17" s="16">
        <f>-(R16/R15*100)</f>
        <v>-31.03448275862069</v>
      </c>
      <c r="S17" s="16">
        <f>-(S16/S15*100)</f>
        <v>-67.567567567567565</v>
      </c>
      <c r="T17" s="16" t="s">
        <v>0</v>
      </c>
      <c r="U17" s="16"/>
      <c r="V17" s="16"/>
    </row>
    <row r="18" spans="2:22" x14ac:dyDescent="0.2">
      <c r="C18" t="s">
        <v>70</v>
      </c>
      <c r="O18" s="16">
        <v>46</v>
      </c>
      <c r="P18" s="16">
        <v>50</v>
      </c>
      <c r="Q18" s="16">
        <v>37</v>
      </c>
      <c r="R18" s="16">
        <v>36</v>
      </c>
      <c r="S18" s="16">
        <v>31</v>
      </c>
      <c r="T18" s="16"/>
      <c r="U18" s="16"/>
      <c r="V18" s="16"/>
    </row>
    <row r="19" spans="2:22" x14ac:dyDescent="0.2">
      <c r="C19" t="s">
        <v>67</v>
      </c>
      <c r="O19" s="16">
        <f>-(O18/O15*100)</f>
        <v>-80.701754385964904</v>
      </c>
      <c r="P19" s="16">
        <f>-(P18/P15*100)</f>
        <v>-76.923076923076934</v>
      </c>
      <c r="Q19" s="16">
        <f>-(Q18/Q15*100)</f>
        <v>-77.083333333333343</v>
      </c>
      <c r="R19" s="16">
        <f>-(R18/R15*100)</f>
        <v>-62.068965517241381</v>
      </c>
      <c r="S19" s="16">
        <f>-(S18/S15*100)</f>
        <v>-83.78378378378379</v>
      </c>
      <c r="T19" s="16" t="s">
        <v>0</v>
      </c>
      <c r="U19" s="16"/>
      <c r="V19" s="16"/>
    </row>
    <row r="20" spans="2:22" x14ac:dyDescent="0.2">
      <c r="O20" s="16"/>
      <c r="P20" s="16"/>
      <c r="Q20" s="16"/>
      <c r="R20" s="16"/>
      <c r="S20" s="16"/>
      <c r="T20" s="16"/>
      <c r="U20" s="16"/>
      <c r="V20" s="16"/>
    </row>
    <row r="21" spans="2:22" x14ac:dyDescent="0.2">
      <c r="B21" s="5" t="s">
        <v>71</v>
      </c>
      <c r="O21" s="16"/>
      <c r="P21" s="16"/>
      <c r="Q21" s="16"/>
      <c r="R21" s="16"/>
      <c r="S21" s="16"/>
      <c r="T21" s="16"/>
      <c r="U21" s="16"/>
      <c r="V21" s="16"/>
    </row>
    <row r="22" spans="2:22" x14ac:dyDescent="0.2">
      <c r="C22" t="s">
        <v>65</v>
      </c>
      <c r="O22" s="16">
        <v>1417</v>
      </c>
      <c r="P22" s="16">
        <v>1342</v>
      </c>
      <c r="Q22" s="16">
        <v>1419</v>
      </c>
      <c r="R22" s="16">
        <v>1250</v>
      </c>
      <c r="S22" s="16">
        <v>654</v>
      </c>
      <c r="T22" s="16"/>
      <c r="U22" s="16"/>
      <c r="V22" s="16"/>
    </row>
    <row r="23" spans="2:22" x14ac:dyDescent="0.2">
      <c r="C23" t="s">
        <v>69</v>
      </c>
      <c r="O23" s="16">
        <v>408</v>
      </c>
      <c r="P23" s="16">
        <v>398</v>
      </c>
      <c r="Q23" s="16">
        <v>498</v>
      </c>
      <c r="R23" s="16">
        <v>371</v>
      </c>
      <c r="S23" s="16">
        <v>437</v>
      </c>
      <c r="T23" s="16"/>
      <c r="U23" s="16"/>
      <c r="V23" s="16"/>
    </row>
    <row r="24" spans="2:22" x14ac:dyDescent="0.2">
      <c r="C24" t="s">
        <v>67</v>
      </c>
      <c r="O24" s="16">
        <f>-(O23/O22*100)</f>
        <v>-28.793225123500356</v>
      </c>
      <c r="P24" s="16">
        <f>-(P23/P22*100)</f>
        <v>-29.657228017883757</v>
      </c>
      <c r="Q24" s="16">
        <f>-(Q23/Q22*100)</f>
        <v>-35.095137420718814</v>
      </c>
      <c r="R24" s="16">
        <f>-(R23/R22*100)</f>
        <v>-29.68</v>
      </c>
      <c r="S24" s="16">
        <f>-(S23/S22*100)</f>
        <v>-66.819571865443422</v>
      </c>
      <c r="T24" s="16" t="s">
        <v>0</v>
      </c>
      <c r="U24" s="16"/>
      <c r="V24" s="16"/>
    </row>
    <row r="25" spans="2:22" x14ac:dyDescent="0.2">
      <c r="C25" t="s">
        <v>70</v>
      </c>
      <c r="O25" s="16">
        <v>1254</v>
      </c>
      <c r="P25" s="16">
        <v>1225</v>
      </c>
      <c r="Q25" s="16">
        <v>1335</v>
      </c>
      <c r="R25" s="16">
        <v>1151</v>
      </c>
      <c r="S25" s="16">
        <v>624</v>
      </c>
      <c r="T25" s="16"/>
      <c r="U25" s="16"/>
      <c r="V25" s="16"/>
    </row>
    <row r="26" spans="2:22" x14ac:dyDescent="0.2">
      <c r="C26" t="s">
        <v>67</v>
      </c>
      <c r="O26" s="16">
        <f>-(O25/O22*100)</f>
        <v>-88.496824276640794</v>
      </c>
      <c r="P26" s="16">
        <f>-(P25/P22*100)</f>
        <v>-91.281669150521608</v>
      </c>
      <c r="Q26" s="16">
        <f>-(Q25/Q22*100)</f>
        <v>-94.080338266384771</v>
      </c>
      <c r="R26" s="16">
        <f>-(R25/R22*100)</f>
        <v>-92.08</v>
      </c>
      <c r="S26" s="16">
        <f>-(S25/S22*100)</f>
        <v>-95.412844036697251</v>
      </c>
      <c r="T26" s="16" t="s">
        <v>0</v>
      </c>
      <c r="U26" s="16"/>
      <c r="V26" s="16"/>
    </row>
    <row r="27" spans="2:22" x14ac:dyDescent="0.2">
      <c r="O27" s="16"/>
      <c r="P27" s="16"/>
      <c r="Q27" s="16"/>
      <c r="R27" s="16"/>
      <c r="S27" s="16"/>
      <c r="T27" s="16"/>
      <c r="U27" s="16"/>
      <c r="V27" s="16"/>
    </row>
    <row r="28" spans="2:22" x14ac:dyDescent="0.2">
      <c r="B28" s="5" t="s">
        <v>72</v>
      </c>
      <c r="O28" s="16"/>
      <c r="P28" s="16"/>
      <c r="Q28" s="16"/>
      <c r="R28" s="16"/>
      <c r="S28" s="16"/>
      <c r="T28" s="16"/>
      <c r="U28" s="16"/>
      <c r="V28" s="16"/>
    </row>
    <row r="29" spans="2:22" x14ac:dyDescent="0.2">
      <c r="C29" t="s">
        <v>65</v>
      </c>
      <c r="O29" s="16">
        <v>498</v>
      </c>
      <c r="P29" s="16">
        <v>320</v>
      </c>
      <c r="Q29" s="16">
        <v>273</v>
      </c>
      <c r="R29" s="16">
        <v>341</v>
      </c>
      <c r="S29" s="16">
        <v>995</v>
      </c>
      <c r="T29" s="16"/>
      <c r="U29" s="16"/>
      <c r="V29" s="16"/>
    </row>
    <row r="30" spans="2:22" x14ac:dyDescent="0.2">
      <c r="C30" t="s">
        <v>66</v>
      </c>
      <c r="O30" s="16">
        <v>342</v>
      </c>
      <c r="P30" s="16">
        <v>280</v>
      </c>
      <c r="Q30" s="16">
        <v>268</v>
      </c>
      <c r="R30" s="16">
        <v>311</v>
      </c>
      <c r="S30" s="16">
        <v>947</v>
      </c>
      <c r="T30" s="16"/>
      <c r="U30" s="16"/>
      <c r="V30" s="16"/>
    </row>
    <row r="31" spans="2:22" x14ac:dyDescent="0.2">
      <c r="C31" t="s">
        <v>67</v>
      </c>
      <c r="O31" s="16">
        <f>-(O30/O29*100)</f>
        <v>-68.674698795180717</v>
      </c>
      <c r="P31" s="16">
        <f>-(P30/P29*100)</f>
        <v>-87.5</v>
      </c>
      <c r="Q31" s="16">
        <f>-(Q30/Q29*100)</f>
        <v>-98.168498168498161</v>
      </c>
      <c r="R31" s="16">
        <f>-(R30/R29*100)</f>
        <v>-91.202346041055719</v>
      </c>
      <c r="S31" s="16">
        <f>-(S30/S29*100)</f>
        <v>-95.175879396984925</v>
      </c>
      <c r="T31" s="16" t="s">
        <v>0</v>
      </c>
      <c r="U31" s="16"/>
      <c r="V31" s="16"/>
    </row>
    <row r="32" spans="2:22" x14ac:dyDescent="0.2">
      <c r="O32" s="16"/>
      <c r="P32" s="16"/>
      <c r="Q32" s="16"/>
      <c r="R32" s="16"/>
      <c r="S32" s="16"/>
      <c r="T32" s="16"/>
      <c r="U32" s="16"/>
      <c r="V32" s="16"/>
    </row>
    <row r="33" spans="1:23" x14ac:dyDescent="0.2">
      <c r="B33" s="5" t="s">
        <v>73</v>
      </c>
      <c r="O33" s="16"/>
      <c r="P33" s="16"/>
      <c r="Q33" s="16"/>
      <c r="R33" s="16"/>
      <c r="S33" s="16"/>
      <c r="T33" s="16"/>
      <c r="U33" s="16"/>
      <c r="V33" s="16"/>
    </row>
    <row r="34" spans="1:23" x14ac:dyDescent="0.2">
      <c r="C34" t="s">
        <v>74</v>
      </c>
      <c r="O34" s="16">
        <v>521</v>
      </c>
      <c r="P34" s="16">
        <v>478</v>
      </c>
      <c r="Q34" s="16">
        <v>589</v>
      </c>
      <c r="R34" s="16">
        <v>447</v>
      </c>
      <c r="S34" s="16">
        <v>530</v>
      </c>
    </row>
    <row r="35" spans="1:23" x14ac:dyDescent="0.2">
      <c r="C35" t="s">
        <v>75</v>
      </c>
      <c r="O35" s="16">
        <f t="shared" ref="O35:T35" si="0">O30+O25+O18+O11</f>
        <v>1719</v>
      </c>
      <c r="P35" s="16">
        <f t="shared" si="0"/>
        <v>1597</v>
      </c>
      <c r="Q35" s="16">
        <f t="shared" si="0"/>
        <v>1707</v>
      </c>
      <c r="R35" s="16">
        <f t="shared" si="0"/>
        <v>1556</v>
      </c>
      <c r="S35" s="16">
        <f t="shared" si="0"/>
        <v>1670</v>
      </c>
      <c r="T35" s="16">
        <f t="shared" si="0"/>
        <v>0</v>
      </c>
      <c r="U35" s="16"/>
      <c r="V35" s="16"/>
    </row>
    <row r="36" spans="1:2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8" spans="1:23" x14ac:dyDescent="0.2">
      <c r="A38" s="5" t="s">
        <v>19</v>
      </c>
    </row>
    <row r="39" spans="1:23" ht="14.25" x14ac:dyDescent="0.2">
      <c r="B39" s="25">
        <v>1</v>
      </c>
      <c r="C39" t="s">
        <v>77</v>
      </c>
    </row>
    <row r="52" spans="1:23" x14ac:dyDescent="0.2">
      <c r="A52" s="11" t="s">
        <v>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0" t="e">
        <f>#REF!+1</f>
        <v>#REF!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phoneticPr fontId="0" type="noConversion"/>
  <printOptions horizontalCentered="1"/>
  <pageMargins left="1" right="1" top="1" bottom="0.5" header="0.5" footer="0.5"/>
  <pageSetup scale="9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K62"/>
  <sheetViews>
    <sheetView zoomScaleNormal="100" zoomScaleSheetLayoutView="100" workbookViewId="0">
      <selection activeCell="J4" sqref="J4"/>
    </sheetView>
  </sheetViews>
  <sheetFormatPr defaultRowHeight="12.75" x14ac:dyDescent="0.2"/>
  <cols>
    <col min="1" max="1" width="9.140625" style="29"/>
    <col min="2" max="2" width="6.42578125" style="29" customWidth="1"/>
    <col min="3" max="3" width="32.7109375" style="29" customWidth="1"/>
    <col min="4" max="16384" width="9.140625" style="29"/>
  </cols>
  <sheetData>
    <row r="2" spans="2:11" x14ac:dyDescent="0.2">
      <c r="H2" s="604" t="s">
        <v>340</v>
      </c>
      <c r="I2" s="604"/>
      <c r="J2" s="604"/>
      <c r="K2" s="604"/>
    </row>
    <row r="6" spans="2:11" ht="12.75" customHeight="1" x14ac:dyDescent="0.2">
      <c r="C6" s="403"/>
    </row>
    <row r="7" spans="2:11" ht="15.75" x14ac:dyDescent="0.25">
      <c r="B7" s="368">
        <v>3.05</v>
      </c>
      <c r="C7" s="405" t="s">
        <v>365</v>
      </c>
    </row>
    <row r="8" spans="2:11" ht="12.75" customHeight="1" x14ac:dyDescent="0.2">
      <c r="B8" s="349"/>
      <c r="C8" s="494"/>
    </row>
    <row r="10" spans="2:11" x14ac:dyDescent="0.2">
      <c r="C10" s="370" t="s">
        <v>129</v>
      </c>
      <c r="D10" s="370">
        <v>2016</v>
      </c>
      <c r="E10" s="370">
        <v>2017</v>
      </c>
      <c r="F10" s="370">
        <v>2018</v>
      </c>
      <c r="G10" s="370">
        <v>2019</v>
      </c>
      <c r="H10" s="370">
        <v>2020</v>
      </c>
      <c r="I10" s="370">
        <v>2021</v>
      </c>
      <c r="J10" s="370">
        <v>2022</v>
      </c>
    </row>
    <row r="12" spans="2:11" x14ac:dyDescent="0.2">
      <c r="C12" s="349" t="s">
        <v>130</v>
      </c>
      <c r="D12" s="349">
        <v>154</v>
      </c>
      <c r="E12" s="349">
        <v>137</v>
      </c>
      <c r="F12" s="349">
        <v>137</v>
      </c>
      <c r="G12" s="349">
        <v>157</v>
      </c>
      <c r="H12" s="349">
        <v>163</v>
      </c>
      <c r="I12" s="349">
        <v>184</v>
      </c>
      <c r="J12" s="349">
        <v>166</v>
      </c>
    </row>
    <row r="13" spans="2:11" x14ac:dyDescent="0.2">
      <c r="C13" s="495" t="s">
        <v>131</v>
      </c>
      <c r="D13" s="29">
        <v>62</v>
      </c>
      <c r="E13" s="29">
        <v>40</v>
      </c>
      <c r="F13" s="29">
        <v>47</v>
      </c>
      <c r="G13" s="29">
        <v>57</v>
      </c>
      <c r="H13" s="29">
        <v>72</v>
      </c>
      <c r="I13" s="29">
        <v>64</v>
      </c>
      <c r="J13" s="29">
        <v>61</v>
      </c>
    </row>
    <row r="14" spans="2:11" x14ac:dyDescent="0.2">
      <c r="C14" s="495" t="s">
        <v>132</v>
      </c>
      <c r="D14" s="29">
        <v>92</v>
      </c>
      <c r="E14" s="29">
        <v>97</v>
      </c>
      <c r="F14" s="29">
        <v>90</v>
      </c>
      <c r="G14" s="29">
        <v>100</v>
      </c>
      <c r="H14" s="29">
        <v>91</v>
      </c>
      <c r="I14" s="29">
        <v>120</v>
      </c>
      <c r="J14" s="29">
        <v>105</v>
      </c>
    </row>
    <row r="15" spans="2:11" x14ac:dyDescent="0.2">
      <c r="C15" s="280"/>
    </row>
    <row r="16" spans="2:11" x14ac:dyDescent="0.2">
      <c r="C16" s="349" t="s">
        <v>120</v>
      </c>
      <c r="D16" s="349">
        <v>738</v>
      </c>
      <c r="E16" s="349">
        <v>759</v>
      </c>
      <c r="F16" s="349">
        <v>729</v>
      </c>
      <c r="G16" s="349">
        <v>769</v>
      </c>
      <c r="H16" s="349">
        <v>785</v>
      </c>
      <c r="I16" s="349">
        <v>886</v>
      </c>
      <c r="J16" s="349">
        <v>750</v>
      </c>
    </row>
    <row r="17" spans="3:10" x14ac:dyDescent="0.2">
      <c r="C17" s="495" t="s">
        <v>131</v>
      </c>
      <c r="D17" s="29">
        <v>316</v>
      </c>
      <c r="E17" s="29">
        <v>334</v>
      </c>
      <c r="F17" s="29">
        <v>349</v>
      </c>
      <c r="G17" s="29">
        <v>334</v>
      </c>
      <c r="H17" s="29">
        <v>317</v>
      </c>
      <c r="I17" s="29">
        <v>349</v>
      </c>
      <c r="J17" s="29">
        <v>262</v>
      </c>
    </row>
    <row r="18" spans="3:10" x14ac:dyDescent="0.2">
      <c r="C18" s="495" t="s">
        <v>132</v>
      </c>
      <c r="D18" s="29">
        <v>422</v>
      </c>
      <c r="E18" s="29">
        <v>425</v>
      </c>
      <c r="F18" s="29">
        <v>380</v>
      </c>
      <c r="G18" s="29">
        <v>435</v>
      </c>
      <c r="H18" s="29">
        <v>468</v>
      </c>
      <c r="I18" s="29">
        <v>537</v>
      </c>
      <c r="J18" s="29">
        <v>488</v>
      </c>
    </row>
    <row r="19" spans="3:10" x14ac:dyDescent="0.2">
      <c r="C19" s="495"/>
    </row>
    <row r="20" spans="3:10" ht="14.25" x14ac:dyDescent="0.2">
      <c r="C20" s="486" t="s">
        <v>162</v>
      </c>
      <c r="D20" s="389">
        <v>85</v>
      </c>
      <c r="E20" s="389">
        <v>94</v>
      </c>
      <c r="F20" s="389">
        <v>92</v>
      </c>
      <c r="G20" s="389">
        <v>114</v>
      </c>
      <c r="H20" s="349">
        <v>86</v>
      </c>
      <c r="I20" s="349">
        <v>77</v>
      </c>
      <c r="J20" s="389">
        <v>75</v>
      </c>
    </row>
    <row r="21" spans="3:10" ht="14.25" x14ac:dyDescent="0.2">
      <c r="C21" s="495" t="s">
        <v>326</v>
      </c>
      <c r="D21" s="496">
        <v>13</v>
      </c>
      <c r="E21" s="496">
        <v>16</v>
      </c>
      <c r="F21" s="496">
        <v>23</v>
      </c>
      <c r="G21" s="496">
        <v>20</v>
      </c>
      <c r="H21" s="496">
        <v>4</v>
      </c>
      <c r="I21" s="496">
        <v>17</v>
      </c>
      <c r="J21" s="496">
        <v>24</v>
      </c>
    </row>
    <row r="22" spans="3:10" x14ac:dyDescent="0.2">
      <c r="C22" s="495" t="s">
        <v>122</v>
      </c>
      <c r="D22" s="496">
        <v>19</v>
      </c>
      <c r="E22" s="496">
        <v>17</v>
      </c>
      <c r="F22" s="496">
        <v>20</v>
      </c>
      <c r="G22" s="496">
        <v>22</v>
      </c>
      <c r="H22" s="496">
        <v>15</v>
      </c>
      <c r="I22" s="496">
        <v>16</v>
      </c>
      <c r="J22" s="496">
        <v>9</v>
      </c>
    </row>
    <row r="23" spans="3:10" x14ac:dyDescent="0.2">
      <c r="C23" s="495" t="s">
        <v>123</v>
      </c>
      <c r="D23" s="497" t="s">
        <v>78</v>
      </c>
      <c r="E23" s="497" t="s">
        <v>78</v>
      </c>
      <c r="F23" s="497" t="s">
        <v>78</v>
      </c>
      <c r="G23" s="497" t="s">
        <v>78</v>
      </c>
      <c r="H23" s="497" t="s">
        <v>78</v>
      </c>
      <c r="I23" s="497"/>
      <c r="J23" s="29">
        <f>-L26</f>
        <v>0</v>
      </c>
    </row>
    <row r="24" spans="3:10" x14ac:dyDescent="0.2">
      <c r="C24" s="495" t="s">
        <v>327</v>
      </c>
      <c r="D24" s="496">
        <v>7</v>
      </c>
      <c r="E24" s="496">
        <v>14</v>
      </c>
      <c r="F24" s="496">
        <v>11</v>
      </c>
      <c r="G24" s="496">
        <v>17</v>
      </c>
      <c r="H24" s="496">
        <v>15</v>
      </c>
      <c r="I24" s="496">
        <v>7</v>
      </c>
      <c r="J24" s="496">
        <v>6</v>
      </c>
    </row>
    <row r="25" spans="3:10" x14ac:dyDescent="0.2">
      <c r="C25" s="495" t="s">
        <v>36</v>
      </c>
      <c r="D25" s="496">
        <v>46</v>
      </c>
      <c r="E25" s="496">
        <v>39</v>
      </c>
      <c r="F25" s="496">
        <v>35</v>
      </c>
      <c r="G25" s="496">
        <v>42</v>
      </c>
      <c r="H25" s="496">
        <v>36</v>
      </c>
      <c r="I25" s="496">
        <v>31</v>
      </c>
      <c r="J25" s="496">
        <v>35</v>
      </c>
    </row>
    <row r="26" spans="3:10" x14ac:dyDescent="0.2">
      <c r="C26" s="495" t="s">
        <v>133</v>
      </c>
      <c r="D26" s="360" t="s">
        <v>78</v>
      </c>
      <c r="E26" s="360" t="s">
        <v>78</v>
      </c>
      <c r="F26" s="360" t="s">
        <v>78</v>
      </c>
      <c r="G26" s="360" t="s">
        <v>78</v>
      </c>
      <c r="H26" s="360" t="s">
        <v>78</v>
      </c>
      <c r="I26" s="360" t="s">
        <v>78</v>
      </c>
      <c r="J26" s="387" t="s">
        <v>78</v>
      </c>
    </row>
    <row r="27" spans="3:10" x14ac:dyDescent="0.2">
      <c r="C27" s="495" t="s">
        <v>180</v>
      </c>
      <c r="D27" s="360" t="s">
        <v>78</v>
      </c>
      <c r="E27" s="360" t="s">
        <v>78</v>
      </c>
      <c r="F27" s="360" t="s">
        <v>78</v>
      </c>
      <c r="G27" s="360" t="s">
        <v>78</v>
      </c>
      <c r="H27" s="360" t="s">
        <v>78</v>
      </c>
      <c r="I27" s="360" t="s">
        <v>78</v>
      </c>
      <c r="J27" s="387" t="s">
        <v>78</v>
      </c>
    </row>
    <row r="28" spans="3:10" x14ac:dyDescent="0.2">
      <c r="C28" s="495" t="s">
        <v>328</v>
      </c>
      <c r="D28" s="360"/>
      <c r="E28" s="360"/>
      <c r="F28" s="360"/>
      <c r="G28" s="360">
        <v>5</v>
      </c>
      <c r="H28" s="360">
        <v>9</v>
      </c>
      <c r="I28" s="360">
        <v>6</v>
      </c>
      <c r="J28" s="496">
        <v>1</v>
      </c>
    </row>
    <row r="29" spans="3:10" x14ac:dyDescent="0.2">
      <c r="C29" s="495" t="s">
        <v>278</v>
      </c>
      <c r="D29" s="360" t="s">
        <v>78</v>
      </c>
      <c r="E29" s="360">
        <v>8</v>
      </c>
      <c r="F29" s="360">
        <v>3</v>
      </c>
      <c r="G29" s="360">
        <v>8</v>
      </c>
      <c r="H29" s="360">
        <v>7</v>
      </c>
      <c r="I29" s="360" t="s">
        <v>78</v>
      </c>
      <c r="J29" s="496">
        <v>0</v>
      </c>
    </row>
    <row r="30" spans="3:10" x14ac:dyDescent="0.2">
      <c r="C30" s="495"/>
      <c r="D30" s="496"/>
      <c r="E30" s="496"/>
      <c r="F30" s="496"/>
      <c r="G30" s="496"/>
      <c r="H30" s="496"/>
      <c r="I30" s="496"/>
    </row>
    <row r="31" spans="3:10" ht="14.25" x14ac:dyDescent="0.2">
      <c r="C31" s="486" t="s">
        <v>329</v>
      </c>
      <c r="D31" s="498">
        <v>22</v>
      </c>
      <c r="E31" s="498">
        <v>5</v>
      </c>
      <c r="F31" s="498">
        <v>8</v>
      </c>
      <c r="G31" s="498">
        <v>28</v>
      </c>
      <c r="H31" s="389">
        <v>119</v>
      </c>
      <c r="I31" s="389">
        <v>1</v>
      </c>
      <c r="J31" s="498">
        <v>0</v>
      </c>
    </row>
    <row r="32" spans="3:10" x14ac:dyDescent="0.2">
      <c r="C32" s="495" t="s">
        <v>125</v>
      </c>
      <c r="D32" s="387" t="s">
        <v>78</v>
      </c>
      <c r="E32" s="387" t="s">
        <v>78</v>
      </c>
      <c r="F32" s="387" t="s">
        <v>78</v>
      </c>
      <c r="G32" s="387" t="s">
        <v>78</v>
      </c>
      <c r="H32" s="387" t="s">
        <v>78</v>
      </c>
      <c r="I32" s="387"/>
      <c r="J32" s="387" t="s">
        <v>78</v>
      </c>
    </row>
    <row r="33" spans="3:10" x14ac:dyDescent="0.2">
      <c r="C33" s="495" t="s">
        <v>134</v>
      </c>
      <c r="D33" s="387" t="s">
        <v>78</v>
      </c>
      <c r="E33" s="387" t="s">
        <v>78</v>
      </c>
      <c r="F33" s="387" t="s">
        <v>78</v>
      </c>
      <c r="G33" s="387" t="s">
        <v>78</v>
      </c>
      <c r="H33" s="387" t="s">
        <v>78</v>
      </c>
      <c r="I33" s="387"/>
      <c r="J33" s="387" t="s">
        <v>78</v>
      </c>
    </row>
    <row r="34" spans="3:10" x14ac:dyDescent="0.2">
      <c r="C34" s="495" t="s">
        <v>126</v>
      </c>
      <c r="D34" s="496">
        <v>10</v>
      </c>
      <c r="E34" s="496">
        <v>5</v>
      </c>
      <c r="F34" s="496">
        <v>8</v>
      </c>
      <c r="G34" s="496">
        <v>4</v>
      </c>
      <c r="H34" s="496">
        <v>7</v>
      </c>
      <c r="I34" s="496">
        <v>1</v>
      </c>
      <c r="J34" s="387">
        <v>0</v>
      </c>
    </row>
    <row r="35" spans="3:10" x14ac:dyDescent="0.2">
      <c r="C35" s="495" t="s">
        <v>127</v>
      </c>
      <c r="D35" s="496">
        <v>12</v>
      </c>
      <c r="E35" s="496" t="s">
        <v>78</v>
      </c>
      <c r="F35" s="496" t="s">
        <v>78</v>
      </c>
      <c r="G35" s="496" t="s">
        <v>78</v>
      </c>
      <c r="H35" s="496" t="s">
        <v>78</v>
      </c>
      <c r="I35" s="496"/>
      <c r="J35" s="387" t="s">
        <v>78</v>
      </c>
    </row>
    <row r="36" spans="3:10" x14ac:dyDescent="0.2">
      <c r="C36" s="495" t="s">
        <v>128</v>
      </c>
      <c r="D36" s="387" t="s">
        <v>78</v>
      </c>
      <c r="E36" s="496" t="s">
        <v>78</v>
      </c>
      <c r="F36" s="496" t="s">
        <v>78</v>
      </c>
      <c r="G36" s="496" t="s">
        <v>78</v>
      </c>
      <c r="H36" s="496" t="s">
        <v>78</v>
      </c>
      <c r="I36" s="496"/>
      <c r="J36" s="387" t="s">
        <v>78</v>
      </c>
    </row>
    <row r="37" spans="3:10" x14ac:dyDescent="0.2">
      <c r="C37" s="495" t="s">
        <v>330</v>
      </c>
      <c r="D37" s="387"/>
      <c r="E37" s="387"/>
      <c r="F37" s="387"/>
      <c r="G37" s="387">
        <v>24</v>
      </c>
      <c r="H37" s="387">
        <v>112</v>
      </c>
      <c r="I37" s="387"/>
      <c r="J37" s="387" t="s">
        <v>78</v>
      </c>
    </row>
    <row r="38" spans="3:10" x14ac:dyDescent="0.2">
      <c r="C38" s="495"/>
      <c r="D38" s="496"/>
      <c r="E38" s="496"/>
      <c r="F38" s="496"/>
      <c r="G38" s="496"/>
      <c r="H38" s="496"/>
      <c r="I38" s="496"/>
    </row>
    <row r="39" spans="3:10" x14ac:dyDescent="0.2">
      <c r="C39" s="499" t="s">
        <v>331</v>
      </c>
      <c r="D39" s="389">
        <v>25</v>
      </c>
      <c r="E39" s="389">
        <v>13</v>
      </c>
      <c r="F39" s="389">
        <v>19</v>
      </c>
      <c r="G39" s="389">
        <v>36</v>
      </c>
      <c r="H39" s="389">
        <v>11</v>
      </c>
      <c r="I39" s="389">
        <v>14</v>
      </c>
      <c r="J39" s="389">
        <v>12</v>
      </c>
    </row>
    <row r="40" spans="3:10" x14ac:dyDescent="0.2">
      <c r="C40" s="495" t="s">
        <v>39</v>
      </c>
      <c r="D40" s="496">
        <v>0</v>
      </c>
      <c r="E40" s="496">
        <v>1</v>
      </c>
      <c r="F40" s="496">
        <v>10</v>
      </c>
      <c r="G40" s="496">
        <v>9</v>
      </c>
      <c r="H40" s="496">
        <v>0</v>
      </c>
      <c r="I40" s="496">
        <v>13</v>
      </c>
      <c r="J40" s="496">
        <v>12</v>
      </c>
    </row>
    <row r="41" spans="3:10" x14ac:dyDescent="0.2">
      <c r="C41" s="495" t="s">
        <v>141</v>
      </c>
      <c r="D41" s="496">
        <v>3</v>
      </c>
      <c r="E41" s="496">
        <v>4</v>
      </c>
      <c r="F41" s="496">
        <v>2</v>
      </c>
      <c r="G41" s="496">
        <v>3</v>
      </c>
      <c r="H41" s="496">
        <v>6</v>
      </c>
      <c r="I41" s="387" t="s">
        <v>78</v>
      </c>
      <c r="J41" s="387" t="s">
        <v>78</v>
      </c>
    </row>
    <row r="42" spans="3:10" x14ac:dyDescent="0.2">
      <c r="C42" s="495" t="s">
        <v>142</v>
      </c>
      <c r="D42" s="29">
        <v>9</v>
      </c>
      <c r="E42" s="29">
        <v>0</v>
      </c>
      <c r="F42" s="29">
        <v>5</v>
      </c>
      <c r="G42" s="29">
        <v>19</v>
      </c>
      <c r="H42" s="29">
        <v>5</v>
      </c>
      <c r="I42" s="387" t="s">
        <v>78</v>
      </c>
      <c r="J42" s="387" t="s">
        <v>78</v>
      </c>
    </row>
    <row r="43" spans="3:10" x14ac:dyDescent="0.2">
      <c r="C43" s="495" t="s">
        <v>144</v>
      </c>
      <c r="D43" s="360">
        <v>13</v>
      </c>
      <c r="E43" s="360">
        <v>8</v>
      </c>
      <c r="F43" s="360">
        <v>2</v>
      </c>
      <c r="G43" s="360">
        <v>5</v>
      </c>
      <c r="H43" s="360">
        <v>0</v>
      </c>
      <c r="I43" s="360">
        <v>1</v>
      </c>
      <c r="J43" s="389">
        <v>0</v>
      </c>
    </row>
    <row r="44" spans="3:10" x14ac:dyDescent="0.2">
      <c r="D44" s="496"/>
      <c r="E44" s="496"/>
      <c r="F44" s="496"/>
      <c r="G44" s="496"/>
      <c r="H44" s="496"/>
      <c r="I44" s="496"/>
    </row>
    <row r="45" spans="3:10" ht="14.25" x14ac:dyDescent="0.2">
      <c r="C45" s="499" t="s">
        <v>332</v>
      </c>
      <c r="D45" s="389">
        <v>103</v>
      </c>
      <c r="E45" s="389">
        <v>183</v>
      </c>
      <c r="F45" s="389">
        <v>155</v>
      </c>
      <c r="G45" s="389">
        <v>206</v>
      </c>
      <c r="H45" s="389">
        <v>299</v>
      </c>
      <c r="I45" s="389">
        <v>265</v>
      </c>
      <c r="J45" s="349">
        <v>254</v>
      </c>
    </row>
    <row r="46" spans="3:10" x14ac:dyDescent="0.2">
      <c r="C46" s="500" t="s">
        <v>341</v>
      </c>
      <c r="D46" s="387" t="s">
        <v>78</v>
      </c>
      <c r="E46" s="387" t="s">
        <v>78</v>
      </c>
      <c r="F46" s="387" t="s">
        <v>78</v>
      </c>
      <c r="G46" s="387" t="s">
        <v>78</v>
      </c>
      <c r="H46" s="387" t="s">
        <v>78</v>
      </c>
      <c r="I46" s="387" t="s">
        <v>78</v>
      </c>
      <c r="J46" s="29">
        <v>78</v>
      </c>
    </row>
    <row r="47" spans="3:10" x14ac:dyDescent="0.2">
      <c r="C47" s="500" t="s">
        <v>342</v>
      </c>
      <c r="D47" s="387" t="s">
        <v>78</v>
      </c>
      <c r="E47" s="387" t="s">
        <v>78</v>
      </c>
      <c r="F47" s="387" t="s">
        <v>78</v>
      </c>
      <c r="G47" s="387" t="s">
        <v>78</v>
      </c>
      <c r="H47" s="387" t="s">
        <v>78</v>
      </c>
      <c r="I47" s="387" t="s">
        <v>78</v>
      </c>
      <c r="J47" s="29">
        <v>61</v>
      </c>
    </row>
    <row r="48" spans="3:10" x14ac:dyDescent="0.2">
      <c r="C48" s="500" t="s">
        <v>343</v>
      </c>
      <c r="D48" s="387" t="s">
        <v>78</v>
      </c>
      <c r="E48" s="387" t="s">
        <v>78</v>
      </c>
      <c r="F48" s="387" t="s">
        <v>78</v>
      </c>
      <c r="G48" s="387" t="s">
        <v>78</v>
      </c>
      <c r="H48" s="387" t="s">
        <v>78</v>
      </c>
      <c r="I48" s="387" t="s">
        <v>78</v>
      </c>
      <c r="J48" s="29">
        <v>115</v>
      </c>
    </row>
    <row r="49" spans="2:10" x14ac:dyDescent="0.2">
      <c r="C49" s="500"/>
      <c r="D49" s="389"/>
      <c r="E49" s="389"/>
      <c r="F49" s="389"/>
      <c r="G49" s="389"/>
      <c r="H49" s="389"/>
      <c r="I49" s="389"/>
    </row>
    <row r="50" spans="2:10" ht="14.25" x14ac:dyDescent="0.2">
      <c r="C50" s="501" t="s">
        <v>307</v>
      </c>
      <c r="D50" s="502">
        <v>30</v>
      </c>
      <c r="E50" s="502">
        <v>23</v>
      </c>
      <c r="F50" s="502">
        <v>33</v>
      </c>
      <c r="G50" s="502">
        <v>41</v>
      </c>
      <c r="H50" s="502">
        <v>71</v>
      </c>
      <c r="I50" s="502">
        <v>55</v>
      </c>
      <c r="J50" s="502">
        <v>78</v>
      </c>
    </row>
    <row r="51" spans="2:10" x14ac:dyDescent="0.2">
      <c r="C51" s="495"/>
      <c r="D51" s="496"/>
      <c r="E51" s="496"/>
      <c r="F51" s="496"/>
    </row>
    <row r="52" spans="2:10" ht="17.25" customHeight="1" x14ac:dyDescent="0.2">
      <c r="C52" s="486" t="s">
        <v>118</v>
      </c>
      <c r="D52" s="496"/>
      <c r="E52" s="496"/>
      <c r="F52" s="496"/>
    </row>
    <row r="53" spans="2:10" ht="27.75" customHeight="1" x14ac:dyDescent="0.2">
      <c r="B53" s="503">
        <v>1</v>
      </c>
      <c r="C53" s="601" t="s">
        <v>333</v>
      </c>
      <c r="D53" s="496"/>
      <c r="E53" s="496"/>
      <c r="F53" s="496"/>
    </row>
    <row r="54" spans="2:10" ht="26.25" customHeight="1" x14ac:dyDescent="0.2">
      <c r="B54" s="504">
        <v>2</v>
      </c>
      <c r="C54" s="601" t="s">
        <v>334</v>
      </c>
      <c r="D54" s="496"/>
      <c r="E54" s="496"/>
      <c r="F54" s="496"/>
    </row>
    <row r="55" spans="2:10" ht="16.5" x14ac:dyDescent="0.2">
      <c r="B55" s="504">
        <v>3</v>
      </c>
      <c r="C55" s="505" t="s">
        <v>335</v>
      </c>
      <c r="D55" s="496"/>
      <c r="E55" s="496"/>
      <c r="F55" s="496"/>
    </row>
    <row r="56" spans="2:10" ht="50.25" customHeight="1" x14ac:dyDescent="0.2">
      <c r="B56" s="504">
        <v>4</v>
      </c>
      <c r="C56" s="630" t="s">
        <v>336</v>
      </c>
      <c r="D56" s="630"/>
      <c r="E56" s="496"/>
      <c r="F56" s="496"/>
    </row>
    <row r="57" spans="2:10" ht="16.5" x14ac:dyDescent="0.2">
      <c r="B57" s="504">
        <v>5</v>
      </c>
      <c r="C57" s="506" t="s">
        <v>337</v>
      </c>
      <c r="D57" s="496"/>
      <c r="E57" s="496"/>
      <c r="F57" s="496"/>
    </row>
    <row r="58" spans="2:10" ht="27" customHeight="1" x14ac:dyDescent="0.2">
      <c r="B58" s="504">
        <v>6</v>
      </c>
      <c r="C58" s="630" t="s">
        <v>338</v>
      </c>
      <c r="D58" s="630"/>
      <c r="E58" s="496"/>
      <c r="F58" s="496"/>
    </row>
    <row r="59" spans="2:10" x14ac:dyDescent="0.2">
      <c r="B59" s="631">
        <v>7</v>
      </c>
      <c r="C59" s="630" t="s">
        <v>339</v>
      </c>
      <c r="D59" s="630"/>
      <c r="E59" s="630"/>
      <c r="F59" s="630"/>
      <c r="G59" s="630"/>
      <c r="H59" s="630"/>
    </row>
    <row r="60" spans="2:10" x14ac:dyDescent="0.2">
      <c r="B60" s="631"/>
      <c r="C60" s="630"/>
      <c r="D60" s="630"/>
      <c r="E60" s="630"/>
      <c r="F60" s="630"/>
      <c r="G60" s="630"/>
      <c r="H60" s="630"/>
    </row>
    <row r="61" spans="2:10" ht="14.25" x14ac:dyDescent="0.2">
      <c r="B61" s="364"/>
      <c r="C61" s="404" t="s">
        <v>176</v>
      </c>
      <c r="D61" s="496"/>
      <c r="E61" s="496"/>
      <c r="F61" s="496"/>
    </row>
    <row r="62" spans="2:10" x14ac:dyDescent="0.2">
      <c r="C62" s="145"/>
      <c r="D62" s="496"/>
      <c r="E62" s="496"/>
    </row>
  </sheetData>
  <mergeCells count="5">
    <mergeCell ref="H2:K2"/>
    <mergeCell ref="C58:D58"/>
    <mergeCell ref="B59:B60"/>
    <mergeCell ref="C59:H60"/>
    <mergeCell ref="C56:D56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85725</xdr:rowOff>
              </to>
            </anchor>
          </objectPr>
        </oleObject>
      </mc:Choice>
      <mc:Fallback>
        <oleObject progId="MSPhotoEd.3" shapeId="39941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FFFF00"/>
    <pageSetUpPr fitToPage="1"/>
  </sheetPr>
  <dimension ref="B2:AX66"/>
  <sheetViews>
    <sheetView zoomScaleNormal="100" zoomScaleSheetLayoutView="100" workbookViewId="0">
      <selection activeCell="I4" sqref="I4"/>
    </sheetView>
  </sheetViews>
  <sheetFormatPr defaultRowHeight="14.25" x14ac:dyDescent="0.2"/>
  <cols>
    <col min="1" max="1" width="9.140625" style="364"/>
    <col min="2" max="2" width="6.140625" style="364" customWidth="1"/>
    <col min="3" max="3" width="1.42578125" style="364" customWidth="1"/>
    <col min="4" max="4" width="37.42578125" style="364" customWidth="1"/>
    <col min="5" max="10" width="9.140625" style="364"/>
    <col min="11" max="11" width="9.140625" style="364" customWidth="1"/>
    <col min="12" max="16384" width="9.140625" style="364"/>
  </cols>
  <sheetData>
    <row r="2" spans="2:11" x14ac:dyDescent="0.2">
      <c r="G2" s="604" t="s">
        <v>340</v>
      </c>
      <c r="H2" s="604"/>
      <c r="I2" s="604"/>
      <c r="J2" s="604"/>
      <c r="K2" s="604"/>
    </row>
    <row r="5" spans="2:11" ht="9" customHeight="1" x14ac:dyDescent="0.2"/>
    <row r="6" spans="2:11" ht="12" customHeight="1" x14ac:dyDescent="0.2"/>
    <row r="8" spans="2:11" ht="15.75" customHeight="1" x14ac:dyDescent="0.25">
      <c r="B8" s="461">
        <v>3.06</v>
      </c>
      <c r="C8" s="632" t="s">
        <v>356</v>
      </c>
      <c r="D8" s="632"/>
      <c r="E8" s="632"/>
      <c r="F8" s="632"/>
      <c r="G8" s="632"/>
      <c r="H8" s="632"/>
      <c r="I8" s="632"/>
      <c r="J8" s="632"/>
      <c r="K8" s="632"/>
    </row>
    <row r="9" spans="2:11" ht="14.25" customHeight="1" x14ac:dyDescent="0.25">
      <c r="C9" s="603"/>
      <c r="D9" s="603"/>
      <c r="E9" s="603"/>
      <c r="F9" s="603"/>
      <c r="G9" s="603"/>
      <c r="H9" s="603"/>
      <c r="I9" s="603"/>
      <c r="J9" s="603"/>
    </row>
    <row r="11" spans="2:11" ht="15" x14ac:dyDescent="0.25">
      <c r="C11" s="507"/>
      <c r="D11" s="507"/>
      <c r="E11" s="463">
        <v>2016</v>
      </c>
      <c r="F11" s="508">
        <v>2017</v>
      </c>
      <c r="G11" s="508">
        <v>2018</v>
      </c>
      <c r="H11" s="508">
        <v>2019</v>
      </c>
      <c r="I11" s="508">
        <v>2020</v>
      </c>
      <c r="J11" s="508">
        <v>2021</v>
      </c>
      <c r="K11" s="508">
        <v>2022</v>
      </c>
    </row>
    <row r="12" spans="2:11" ht="15" x14ac:dyDescent="0.25">
      <c r="C12" s="509"/>
      <c r="D12" s="509"/>
      <c r="F12" s="511"/>
      <c r="G12" s="512"/>
      <c r="H12" s="512"/>
      <c r="I12" s="512"/>
      <c r="J12" s="512"/>
      <c r="K12" s="512"/>
    </row>
    <row r="13" spans="2:11" ht="15" x14ac:dyDescent="0.25">
      <c r="C13" s="465" t="s">
        <v>91</v>
      </c>
      <c r="E13" s="514">
        <v>467</v>
      </c>
      <c r="F13" s="510">
        <v>572</v>
      </c>
      <c r="G13" s="510">
        <v>593</v>
      </c>
      <c r="H13" s="513">
        <v>570</v>
      </c>
      <c r="I13" s="513">
        <v>542</v>
      </c>
      <c r="J13" s="513">
        <v>539</v>
      </c>
      <c r="K13" s="513">
        <v>724</v>
      </c>
    </row>
    <row r="14" spans="2:11" ht="15" x14ac:dyDescent="0.25">
      <c r="C14" s="465"/>
      <c r="D14" s="364" t="s">
        <v>26</v>
      </c>
      <c r="E14" s="515">
        <v>321</v>
      </c>
      <c r="F14" s="511">
        <v>382</v>
      </c>
      <c r="G14" s="512">
        <v>394</v>
      </c>
      <c r="H14" s="512">
        <v>376</v>
      </c>
      <c r="I14" s="512">
        <v>343</v>
      </c>
      <c r="J14" s="512">
        <v>335</v>
      </c>
      <c r="K14" s="512">
        <v>444</v>
      </c>
    </row>
    <row r="15" spans="2:11" x14ac:dyDescent="0.2">
      <c r="D15" s="364" t="s">
        <v>25</v>
      </c>
      <c r="E15" s="515">
        <v>146</v>
      </c>
      <c r="F15" s="511">
        <v>190</v>
      </c>
      <c r="G15" s="512">
        <v>199</v>
      </c>
      <c r="H15" s="512">
        <v>194</v>
      </c>
      <c r="I15" s="512">
        <v>199</v>
      </c>
      <c r="J15" s="512">
        <v>204</v>
      </c>
      <c r="K15" s="512">
        <v>280</v>
      </c>
    </row>
    <row r="16" spans="2:11" x14ac:dyDescent="0.2">
      <c r="E16" s="515"/>
      <c r="F16" s="511"/>
      <c r="G16" s="512"/>
      <c r="H16" s="512"/>
      <c r="I16" s="512"/>
      <c r="J16" s="512"/>
      <c r="K16" s="512"/>
    </row>
    <row r="17" spans="3:11" ht="15" x14ac:dyDescent="0.25">
      <c r="C17" s="465" t="s">
        <v>85</v>
      </c>
      <c r="E17" s="514">
        <v>15</v>
      </c>
      <c r="F17" s="661">
        <v>30</v>
      </c>
      <c r="G17" s="510">
        <v>43</v>
      </c>
      <c r="H17" s="513">
        <v>43</v>
      </c>
      <c r="I17" s="513">
        <v>41</v>
      </c>
      <c r="J17" s="513">
        <v>42</v>
      </c>
      <c r="K17" s="513">
        <v>58</v>
      </c>
    </row>
    <row r="18" spans="3:11" ht="15" x14ac:dyDescent="0.25">
      <c r="D18" s="364" t="s">
        <v>26</v>
      </c>
      <c r="E18" s="516">
        <v>9</v>
      </c>
      <c r="F18" s="517">
        <v>22</v>
      </c>
      <c r="G18" s="512">
        <v>30</v>
      </c>
      <c r="H18" s="512">
        <v>30</v>
      </c>
      <c r="I18" s="512">
        <v>27</v>
      </c>
      <c r="J18" s="512">
        <v>30</v>
      </c>
      <c r="K18" s="512">
        <v>38</v>
      </c>
    </row>
    <row r="19" spans="3:11" x14ac:dyDescent="0.2">
      <c r="D19" s="364" t="s">
        <v>25</v>
      </c>
      <c r="E19" s="515">
        <v>6</v>
      </c>
      <c r="F19" s="511">
        <v>8</v>
      </c>
      <c r="G19" s="512">
        <v>13</v>
      </c>
      <c r="H19" s="512">
        <v>13</v>
      </c>
      <c r="I19" s="512">
        <v>14</v>
      </c>
      <c r="J19" s="512">
        <v>12</v>
      </c>
      <c r="K19" s="512">
        <v>20</v>
      </c>
    </row>
    <row r="20" spans="3:11" x14ac:dyDescent="0.2">
      <c r="E20" s="515"/>
      <c r="F20" s="511"/>
      <c r="G20" s="512"/>
      <c r="H20" s="512"/>
      <c r="I20" s="512"/>
      <c r="J20" s="512"/>
      <c r="K20" s="512"/>
    </row>
    <row r="21" spans="3:11" ht="15" x14ac:dyDescent="0.25">
      <c r="C21" s="465" t="s">
        <v>86</v>
      </c>
      <c r="E21" s="514">
        <v>66</v>
      </c>
      <c r="F21" s="510">
        <v>69</v>
      </c>
      <c r="G21" s="510">
        <v>63</v>
      </c>
      <c r="H21" s="513">
        <v>65</v>
      </c>
      <c r="I21" s="513">
        <v>56</v>
      </c>
      <c r="J21" s="513">
        <v>58</v>
      </c>
      <c r="K21" s="513">
        <v>66</v>
      </c>
    </row>
    <row r="22" spans="3:11" x14ac:dyDescent="0.2">
      <c r="D22" s="364" t="s">
        <v>26</v>
      </c>
      <c r="E22" s="515">
        <v>64</v>
      </c>
      <c r="F22" s="511">
        <v>66</v>
      </c>
      <c r="G22" s="512">
        <v>59</v>
      </c>
      <c r="H22" s="512">
        <v>59</v>
      </c>
      <c r="I22" s="512">
        <v>50</v>
      </c>
      <c r="J22" s="512">
        <v>53</v>
      </c>
      <c r="K22" s="512">
        <v>60</v>
      </c>
    </row>
    <row r="23" spans="3:11" x14ac:dyDescent="0.2">
      <c r="D23" s="364" t="s">
        <v>25</v>
      </c>
      <c r="E23" s="515">
        <v>2</v>
      </c>
      <c r="F23" s="511">
        <v>3</v>
      </c>
      <c r="G23" s="512">
        <v>4</v>
      </c>
      <c r="H23" s="512">
        <v>6</v>
      </c>
      <c r="I23" s="512">
        <v>6</v>
      </c>
      <c r="J23" s="512">
        <v>5</v>
      </c>
      <c r="K23" s="512">
        <v>6</v>
      </c>
    </row>
    <row r="24" spans="3:11" x14ac:dyDescent="0.2">
      <c r="G24" s="512"/>
      <c r="H24" s="512"/>
      <c r="I24" s="512"/>
      <c r="J24" s="512"/>
      <c r="K24" s="512"/>
    </row>
    <row r="25" spans="3:11" ht="15" x14ac:dyDescent="0.25">
      <c r="C25" s="465" t="s">
        <v>87</v>
      </c>
      <c r="E25" s="660">
        <v>191</v>
      </c>
      <c r="F25" s="510">
        <v>215</v>
      </c>
      <c r="G25" s="510">
        <v>220</v>
      </c>
      <c r="H25" s="513">
        <v>215</v>
      </c>
      <c r="I25" s="513">
        <v>201</v>
      </c>
      <c r="J25" s="513">
        <v>191</v>
      </c>
      <c r="K25" s="513">
        <v>246</v>
      </c>
    </row>
    <row r="26" spans="3:11" x14ac:dyDescent="0.2">
      <c r="D26" s="364" t="s">
        <v>26</v>
      </c>
      <c r="E26" s="511">
        <v>126</v>
      </c>
      <c r="F26" s="511">
        <v>140</v>
      </c>
      <c r="G26" s="512">
        <v>136</v>
      </c>
      <c r="H26" s="512">
        <v>134</v>
      </c>
      <c r="I26" s="512">
        <v>122</v>
      </c>
      <c r="J26" s="512">
        <v>110</v>
      </c>
      <c r="K26" s="512">
        <v>147</v>
      </c>
    </row>
    <row r="27" spans="3:11" x14ac:dyDescent="0.2">
      <c r="D27" s="364" t="s">
        <v>25</v>
      </c>
      <c r="E27" s="511">
        <v>65</v>
      </c>
      <c r="F27" s="511">
        <v>75</v>
      </c>
      <c r="G27" s="512">
        <v>84</v>
      </c>
      <c r="H27" s="512">
        <v>81</v>
      </c>
      <c r="I27" s="512">
        <v>79</v>
      </c>
      <c r="J27" s="512">
        <v>81</v>
      </c>
      <c r="K27" s="512">
        <v>99</v>
      </c>
    </row>
    <row r="28" spans="3:11" x14ac:dyDescent="0.2">
      <c r="E28" s="511"/>
      <c r="F28" s="511"/>
      <c r="G28" s="512"/>
      <c r="H28" s="512"/>
      <c r="I28" s="512"/>
      <c r="J28" s="512"/>
      <c r="K28" s="512"/>
    </row>
    <row r="29" spans="3:11" ht="15" x14ac:dyDescent="0.25">
      <c r="C29" s="465" t="s">
        <v>88</v>
      </c>
      <c r="E29" s="510">
        <v>28</v>
      </c>
      <c r="F29" s="510">
        <v>38</v>
      </c>
      <c r="G29" s="510">
        <v>35</v>
      </c>
      <c r="H29" s="513">
        <v>25</v>
      </c>
      <c r="I29" s="513">
        <v>23</v>
      </c>
      <c r="J29" s="513">
        <v>23</v>
      </c>
      <c r="K29" s="513">
        <v>42</v>
      </c>
    </row>
    <row r="30" spans="3:11" x14ac:dyDescent="0.2">
      <c r="D30" s="364" t="s">
        <v>26</v>
      </c>
      <c r="E30" s="511">
        <v>21</v>
      </c>
      <c r="F30" s="511">
        <v>30</v>
      </c>
      <c r="G30" s="512">
        <v>28</v>
      </c>
      <c r="H30" s="512">
        <v>21</v>
      </c>
      <c r="I30" s="512">
        <v>16</v>
      </c>
      <c r="J30" s="512">
        <v>20</v>
      </c>
      <c r="K30" s="512">
        <v>36</v>
      </c>
    </row>
    <row r="31" spans="3:11" x14ac:dyDescent="0.2">
      <c r="D31" s="364" t="s">
        <v>25</v>
      </c>
      <c r="E31" s="425">
        <v>7</v>
      </c>
      <c r="F31" s="425">
        <v>8</v>
      </c>
      <c r="G31" s="512">
        <v>7</v>
      </c>
      <c r="H31" s="512">
        <v>4</v>
      </c>
      <c r="I31" s="512">
        <v>7</v>
      </c>
      <c r="J31" s="512">
        <v>3</v>
      </c>
      <c r="K31" s="512">
        <v>6</v>
      </c>
    </row>
    <row r="32" spans="3:11" x14ac:dyDescent="0.2">
      <c r="E32" s="512"/>
      <c r="F32" s="512"/>
      <c r="G32" s="512"/>
      <c r="H32" s="512"/>
      <c r="I32" s="512"/>
      <c r="J32" s="512"/>
      <c r="K32" s="512"/>
    </row>
    <row r="33" spans="2:11" ht="15" x14ac:dyDescent="0.25">
      <c r="C33" s="465" t="s">
        <v>89</v>
      </c>
      <c r="E33" s="513">
        <v>132</v>
      </c>
      <c r="F33" s="513">
        <v>145</v>
      </c>
      <c r="G33" s="510">
        <v>134</v>
      </c>
      <c r="H33" s="513">
        <v>113</v>
      </c>
      <c r="I33" s="513">
        <v>103</v>
      </c>
      <c r="J33" s="513">
        <v>109</v>
      </c>
      <c r="K33" s="513">
        <v>165</v>
      </c>
    </row>
    <row r="34" spans="2:11" x14ac:dyDescent="0.2">
      <c r="D34" s="364" t="s">
        <v>26</v>
      </c>
      <c r="E34" s="512">
        <v>70</v>
      </c>
      <c r="F34" s="512">
        <v>63</v>
      </c>
      <c r="G34" s="512">
        <v>62</v>
      </c>
      <c r="H34" s="512">
        <v>48</v>
      </c>
      <c r="I34" s="512">
        <v>43</v>
      </c>
      <c r="J34" s="512">
        <v>42</v>
      </c>
      <c r="K34" s="512">
        <v>56</v>
      </c>
    </row>
    <row r="35" spans="2:11" x14ac:dyDescent="0.2">
      <c r="D35" s="364" t="s">
        <v>25</v>
      </c>
      <c r="E35" s="512">
        <v>62</v>
      </c>
      <c r="F35" s="512">
        <v>82</v>
      </c>
      <c r="G35" s="512">
        <v>72</v>
      </c>
      <c r="H35" s="512">
        <v>65</v>
      </c>
      <c r="I35" s="512">
        <v>60</v>
      </c>
      <c r="J35" s="512">
        <v>67</v>
      </c>
      <c r="K35" s="512">
        <v>109</v>
      </c>
    </row>
    <row r="36" spans="2:11" x14ac:dyDescent="0.2">
      <c r="E36" s="512"/>
      <c r="F36" s="512"/>
      <c r="G36" s="512"/>
      <c r="H36" s="512"/>
      <c r="I36" s="512"/>
      <c r="J36" s="512"/>
      <c r="K36" s="512"/>
    </row>
    <row r="37" spans="2:11" ht="15" x14ac:dyDescent="0.25">
      <c r="C37" s="465" t="s">
        <v>90</v>
      </c>
      <c r="E37" s="513">
        <v>35</v>
      </c>
      <c r="F37" s="513">
        <v>75</v>
      </c>
      <c r="G37" s="510">
        <v>98</v>
      </c>
      <c r="H37" s="513">
        <v>109</v>
      </c>
      <c r="I37" s="513">
        <v>118</v>
      </c>
      <c r="J37" s="513">
        <v>116</v>
      </c>
      <c r="K37" s="513">
        <v>147</v>
      </c>
    </row>
    <row r="38" spans="2:11" x14ac:dyDescent="0.2">
      <c r="D38" s="364" t="s">
        <v>26</v>
      </c>
      <c r="E38" s="512">
        <v>31</v>
      </c>
      <c r="F38" s="512">
        <v>61</v>
      </c>
      <c r="G38" s="512">
        <v>79</v>
      </c>
      <c r="H38" s="512">
        <v>84</v>
      </c>
      <c r="I38" s="512">
        <v>85</v>
      </c>
      <c r="J38" s="512">
        <v>80</v>
      </c>
      <c r="K38" s="512">
        <v>107</v>
      </c>
    </row>
    <row r="39" spans="2:11" x14ac:dyDescent="0.2">
      <c r="D39" s="364" t="s">
        <v>25</v>
      </c>
      <c r="E39" s="512">
        <v>4</v>
      </c>
      <c r="F39" s="512">
        <v>14</v>
      </c>
      <c r="G39" s="512">
        <v>19</v>
      </c>
      <c r="H39" s="512">
        <v>25</v>
      </c>
      <c r="I39" s="512">
        <v>33</v>
      </c>
      <c r="J39" s="512">
        <v>36</v>
      </c>
      <c r="K39" s="512">
        <v>40</v>
      </c>
    </row>
    <row r="40" spans="2:11" x14ac:dyDescent="0.2">
      <c r="E40" s="512"/>
      <c r="F40" s="512"/>
      <c r="G40" s="512"/>
      <c r="H40" s="512"/>
      <c r="I40" s="512"/>
      <c r="J40" s="512"/>
      <c r="K40" s="512"/>
    </row>
    <row r="41" spans="2:11" ht="15" x14ac:dyDescent="0.25">
      <c r="C41" s="465" t="s">
        <v>92</v>
      </c>
      <c r="E41" s="513">
        <v>180</v>
      </c>
      <c r="F41" s="513">
        <v>194</v>
      </c>
      <c r="G41" s="510">
        <v>222</v>
      </c>
      <c r="H41" s="513">
        <v>170</v>
      </c>
      <c r="I41" s="513">
        <v>187</v>
      </c>
      <c r="J41" s="513">
        <v>234</v>
      </c>
      <c r="K41" s="513">
        <v>333</v>
      </c>
    </row>
    <row r="42" spans="2:11" x14ac:dyDescent="0.2">
      <c r="D42" s="364" t="s">
        <v>26</v>
      </c>
      <c r="E42" s="512">
        <v>132</v>
      </c>
      <c r="F42" s="512">
        <v>121</v>
      </c>
      <c r="G42" s="512">
        <v>145</v>
      </c>
      <c r="H42" s="512">
        <v>118</v>
      </c>
      <c r="I42" s="512">
        <v>115</v>
      </c>
      <c r="J42" s="512">
        <v>141</v>
      </c>
      <c r="K42" s="512">
        <v>207</v>
      </c>
    </row>
    <row r="43" spans="2:11" x14ac:dyDescent="0.2">
      <c r="D43" s="364" t="s">
        <v>25</v>
      </c>
      <c r="E43" s="512">
        <v>48</v>
      </c>
      <c r="F43" s="512">
        <v>73</v>
      </c>
      <c r="G43" s="512">
        <v>77</v>
      </c>
      <c r="H43" s="512">
        <v>52</v>
      </c>
      <c r="I43" s="512">
        <v>72</v>
      </c>
      <c r="J43" s="512">
        <v>93</v>
      </c>
      <c r="K43" s="512">
        <v>126</v>
      </c>
    </row>
    <row r="44" spans="2:11" x14ac:dyDescent="0.2">
      <c r="B44" s="464"/>
      <c r="C44" s="476"/>
      <c r="D44" s="476"/>
      <c r="E44" s="476"/>
      <c r="F44" s="518"/>
      <c r="G44" s="518"/>
      <c r="H44" s="518"/>
      <c r="I44" s="518"/>
      <c r="J44" s="518"/>
      <c r="K44" s="518"/>
    </row>
    <row r="45" spans="2:11" x14ac:dyDescent="0.2">
      <c r="B45" s="464"/>
      <c r="C45" s="464"/>
      <c r="D45" s="464"/>
    </row>
    <row r="46" spans="2:11" ht="15" x14ac:dyDescent="0.25">
      <c r="B46" s="464"/>
      <c r="C46" s="460" t="s">
        <v>354</v>
      </c>
    </row>
    <row r="48" spans="2:11" x14ac:dyDescent="0.2">
      <c r="C48" s="481"/>
    </row>
    <row r="49" spans="2:14" x14ac:dyDescent="0.2">
      <c r="C49" s="481"/>
    </row>
    <row r="50" spans="2:14" x14ac:dyDescent="0.2">
      <c r="C50" s="481"/>
    </row>
    <row r="51" spans="2:14" x14ac:dyDescent="0.2">
      <c r="C51" s="481"/>
    </row>
    <row r="52" spans="2:14" x14ac:dyDescent="0.2">
      <c r="C52" s="481"/>
    </row>
    <row r="53" spans="2:14" x14ac:dyDescent="0.2">
      <c r="C53" s="481"/>
    </row>
    <row r="54" spans="2:14" x14ac:dyDescent="0.2">
      <c r="C54" s="481"/>
    </row>
    <row r="55" spans="2:14" x14ac:dyDescent="0.2">
      <c r="C55" s="481"/>
    </row>
    <row r="56" spans="2:14" x14ac:dyDescent="0.2">
      <c r="B56" s="464"/>
    </row>
    <row r="57" spans="2:14" x14ac:dyDescent="0.2">
      <c r="C57" s="519"/>
      <c r="D57" s="519"/>
    </row>
    <row r="62" spans="2:14" x14ac:dyDescent="0.2">
      <c r="E62" s="520"/>
      <c r="F62" s="520"/>
      <c r="G62" s="520"/>
      <c r="H62" s="520"/>
      <c r="I62" s="520"/>
      <c r="J62" s="520"/>
      <c r="K62" s="520"/>
      <c r="L62" s="520"/>
      <c r="M62" s="520"/>
      <c r="N62" s="520"/>
    </row>
    <row r="64" spans="2:14" x14ac:dyDescent="0.2">
      <c r="B64" s="482"/>
      <c r="C64" s="482"/>
      <c r="D64" s="482"/>
    </row>
    <row r="65" spans="2:4" ht="9" customHeight="1" x14ac:dyDescent="0.2"/>
    <row r="66" spans="2:4" x14ac:dyDescent="0.2">
      <c r="B66" s="602"/>
      <c r="C66" s="602"/>
      <c r="D66" s="602"/>
    </row>
  </sheetData>
  <mergeCells count="2">
    <mergeCell ref="C8:K8"/>
    <mergeCell ref="G2:K2"/>
  </mergeCells>
  <phoneticPr fontId="0" type="noConversion"/>
  <printOptions horizontalCentered="1"/>
  <pageMargins left="1" right="1" top="1" bottom="0.99" header="0.5" footer="0.5"/>
  <pageSetup scale="7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247650</xdr:colOff>
                <xdr:row>2</xdr:row>
                <xdr:rowOff>66675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C4:V68"/>
  <sheetViews>
    <sheetView view="pageBreakPreview" zoomScaleNormal="100" zoomScaleSheetLayoutView="100" workbookViewId="0">
      <selection activeCell="K36" sqref="K36"/>
    </sheetView>
  </sheetViews>
  <sheetFormatPr defaultColWidth="9.140625" defaultRowHeight="12.75" x14ac:dyDescent="0.2"/>
  <cols>
    <col min="1" max="2" width="9.140625" style="101"/>
    <col min="3" max="3" width="7.42578125" style="101" customWidth="1"/>
    <col min="4" max="4" width="19.42578125" style="101" customWidth="1"/>
    <col min="5" max="5" width="9.140625" style="101"/>
    <col min="6" max="6" width="0" style="101" hidden="1" customWidth="1"/>
    <col min="7" max="7" width="11" style="101" hidden="1" customWidth="1"/>
    <col min="8" max="8" width="7.85546875" style="101" customWidth="1"/>
    <col min="9" max="9" width="8.85546875" style="101" customWidth="1"/>
    <col min="10" max="10" width="11.140625" style="101" customWidth="1"/>
    <col min="11" max="11" width="7.42578125" style="101" customWidth="1"/>
    <col min="12" max="12" width="9.42578125" style="101" customWidth="1"/>
    <col min="13" max="13" width="11.28515625" style="101" customWidth="1"/>
    <col min="14" max="14" width="6.42578125" style="101" customWidth="1"/>
    <col min="15" max="15" width="11.42578125" style="101" customWidth="1"/>
    <col min="16" max="16" width="12.140625" style="101" customWidth="1"/>
    <col min="17" max="17" width="9.140625" style="101"/>
    <col min="18" max="18" width="4.85546875" style="101" customWidth="1"/>
    <col min="19" max="19" width="10.85546875" style="101" customWidth="1"/>
    <col min="20" max="20" width="13.5703125" style="101" customWidth="1"/>
    <col min="21" max="21" width="9.140625" style="101"/>
    <col min="22" max="22" width="4.140625" style="101" customWidth="1"/>
    <col min="23" max="16384" width="9.140625" style="101"/>
  </cols>
  <sheetData>
    <row r="4" spans="3:22" ht="15" x14ac:dyDescent="0.25">
      <c r="E4" s="102"/>
      <c r="F4" s="102"/>
      <c r="G4" s="102"/>
      <c r="H4" s="102"/>
      <c r="I4" s="102"/>
      <c r="J4" s="102"/>
      <c r="K4" s="102"/>
      <c r="L4" s="102"/>
      <c r="M4" s="103" t="s">
        <v>289</v>
      </c>
      <c r="N4" s="103"/>
    </row>
    <row r="5" spans="3:22" ht="9" customHeight="1" x14ac:dyDescent="0.2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7" spans="3:22" x14ac:dyDescent="0.2">
      <c r="D7" s="116"/>
      <c r="E7" s="115"/>
      <c r="F7" s="115"/>
      <c r="G7" s="115"/>
      <c r="H7" s="115"/>
      <c r="I7" s="115"/>
      <c r="J7" s="115"/>
      <c r="K7" s="115"/>
      <c r="L7" s="115"/>
      <c r="M7" s="150"/>
      <c r="N7" s="150"/>
    </row>
    <row r="8" spans="3:22" x14ac:dyDescent="0.2">
      <c r="D8" s="116"/>
      <c r="E8" s="115"/>
      <c r="F8" s="115"/>
      <c r="G8" s="115"/>
      <c r="H8" s="115"/>
      <c r="I8" s="115"/>
      <c r="J8" s="115"/>
      <c r="K8" s="115"/>
      <c r="L8" s="115"/>
      <c r="M8" s="150"/>
      <c r="N8" s="150"/>
    </row>
    <row r="9" spans="3:22" ht="15.75" x14ac:dyDescent="0.25">
      <c r="C9" s="289" t="s">
        <v>285</v>
      </c>
      <c r="D9" s="636" t="s">
        <v>290</v>
      </c>
      <c r="E9" s="636"/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</row>
    <row r="10" spans="3:22" x14ac:dyDescent="0.2">
      <c r="C10" s="290"/>
      <c r="D10" s="291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0"/>
      <c r="P10" s="290"/>
      <c r="Q10" s="290"/>
      <c r="R10" s="290"/>
    </row>
    <row r="11" spans="3:22" ht="17.25" customHeight="1" x14ac:dyDescent="0.2">
      <c r="C11" s="290"/>
      <c r="D11" s="292"/>
      <c r="E11" s="293"/>
      <c r="F11" s="294">
        <v>2009</v>
      </c>
      <c r="G11" s="295"/>
      <c r="H11" s="296"/>
      <c r="I11" s="633">
        <v>2010</v>
      </c>
      <c r="J11" s="633"/>
      <c r="K11" s="296"/>
      <c r="L11" s="294" t="s">
        <v>179</v>
      </c>
      <c r="M11" s="295"/>
      <c r="N11" s="295"/>
      <c r="O11" s="633">
        <v>2012</v>
      </c>
      <c r="P11" s="633"/>
      <c r="Q11" s="633"/>
      <c r="R11" s="633"/>
      <c r="S11" s="633">
        <v>2013</v>
      </c>
      <c r="T11" s="633"/>
      <c r="U11" s="633"/>
      <c r="V11" s="633"/>
    </row>
    <row r="12" spans="3:22" ht="18" customHeight="1" x14ac:dyDescent="0.2">
      <c r="C12" s="290"/>
      <c r="D12" s="297" t="s">
        <v>159</v>
      </c>
      <c r="E12" s="298"/>
      <c r="F12" s="299" t="s">
        <v>160</v>
      </c>
      <c r="G12" s="299" t="s">
        <v>161</v>
      </c>
      <c r="H12" s="287"/>
      <c r="I12" s="299" t="s">
        <v>160</v>
      </c>
      <c r="J12" s="299" t="s">
        <v>161</v>
      </c>
      <c r="K12" s="299"/>
      <c r="L12" s="299" t="s">
        <v>160</v>
      </c>
      <c r="M12" s="299" t="s">
        <v>161</v>
      </c>
      <c r="N12" s="299"/>
      <c r="O12" s="299" t="s">
        <v>160</v>
      </c>
      <c r="P12" s="299" t="s">
        <v>161</v>
      </c>
      <c r="Q12" s="637" t="s">
        <v>248</v>
      </c>
      <c r="R12" s="637"/>
      <c r="S12" s="299" t="s">
        <v>160</v>
      </c>
      <c r="T12" s="299" t="s">
        <v>161</v>
      </c>
      <c r="U12" s="637" t="s">
        <v>248</v>
      </c>
      <c r="V12" s="637"/>
    </row>
    <row r="13" spans="3:22" ht="12" customHeight="1" x14ac:dyDescent="0.2">
      <c r="C13" s="290"/>
      <c r="D13" s="300"/>
      <c r="E13" s="290"/>
      <c r="F13" s="301"/>
      <c r="G13" s="301"/>
      <c r="H13" s="162"/>
      <c r="I13" s="301"/>
      <c r="J13" s="301"/>
      <c r="K13" s="301"/>
      <c r="L13" s="301"/>
      <c r="M13" s="301"/>
      <c r="N13" s="301"/>
      <c r="O13" s="301"/>
      <c r="P13" s="301"/>
      <c r="Q13" s="634"/>
      <c r="R13" s="634"/>
      <c r="S13" s="301"/>
      <c r="T13" s="301"/>
      <c r="U13" s="634"/>
      <c r="V13" s="634"/>
    </row>
    <row r="14" spans="3:22" ht="13.5" customHeight="1" x14ac:dyDescent="0.2">
      <c r="C14" s="290"/>
      <c r="D14" s="302" t="s">
        <v>24</v>
      </c>
      <c r="E14" s="303"/>
      <c r="F14" s="285">
        <f>SUM(F16+F18+F20+F22+F24+F26)</f>
        <v>35549</v>
      </c>
      <c r="G14" s="285">
        <f>SUM(G16+G18+G20+G22+G24+G26)</f>
        <v>36108</v>
      </c>
      <c r="H14" s="288"/>
      <c r="I14" s="285">
        <f>SUM(I16+I18+I20+I22+I24+I26)</f>
        <v>41080</v>
      </c>
      <c r="J14" s="285">
        <f>SUM(J16+J18+J20+J22+J24+J26)</f>
        <v>39671</v>
      </c>
      <c r="K14" s="285"/>
      <c r="L14" s="285">
        <f>SUM(L16+L18+L20+L22+L24+L26)</f>
        <v>8161</v>
      </c>
      <c r="M14" s="285">
        <f>SUM(M16+M18+M20+M22+M24+M26)</f>
        <v>7269</v>
      </c>
      <c r="N14" s="285"/>
      <c r="O14" s="285">
        <v>27259</v>
      </c>
      <c r="P14" s="285">
        <v>34378</v>
      </c>
      <c r="Q14" s="638">
        <v>26583</v>
      </c>
      <c r="R14" s="638"/>
      <c r="S14" s="285"/>
      <c r="T14" s="285"/>
      <c r="U14" s="638"/>
      <c r="V14" s="638"/>
    </row>
    <row r="15" spans="3:22" ht="12" customHeight="1" x14ac:dyDescent="0.2">
      <c r="C15" s="290"/>
      <c r="D15" s="300"/>
      <c r="E15" s="303"/>
      <c r="F15" s="301"/>
      <c r="G15" s="301"/>
      <c r="H15" s="288"/>
      <c r="I15" s="301"/>
      <c r="J15" s="301"/>
      <c r="K15" s="301"/>
      <c r="L15" s="301"/>
      <c r="M15" s="301"/>
      <c r="N15" s="301"/>
      <c r="O15" s="301"/>
      <c r="P15" s="301"/>
      <c r="Q15" s="639"/>
      <c r="R15" s="639"/>
      <c r="S15" s="301"/>
      <c r="T15" s="301"/>
      <c r="U15" s="639"/>
      <c r="V15" s="639"/>
    </row>
    <row r="16" spans="3:22" ht="12" customHeight="1" x14ac:dyDescent="0.2">
      <c r="C16" s="290"/>
      <c r="D16" s="292" t="s">
        <v>154</v>
      </c>
      <c r="E16" s="290"/>
      <c r="F16" s="288">
        <v>14480</v>
      </c>
      <c r="G16" s="288">
        <v>14709</v>
      </c>
      <c r="H16" s="162"/>
      <c r="I16" s="288">
        <v>23852</v>
      </c>
      <c r="J16" s="288">
        <v>22277</v>
      </c>
      <c r="K16" s="288"/>
      <c r="L16" s="288">
        <v>7465</v>
      </c>
      <c r="M16" s="288">
        <v>5907</v>
      </c>
      <c r="N16" s="288"/>
      <c r="O16" s="288">
        <v>14614</v>
      </c>
      <c r="P16" s="288">
        <v>19168</v>
      </c>
      <c r="Q16" s="635">
        <v>8184</v>
      </c>
      <c r="R16" s="635"/>
      <c r="S16" s="288"/>
      <c r="T16" s="288"/>
      <c r="U16" s="635"/>
      <c r="V16" s="635"/>
    </row>
    <row r="17" spans="3:22" ht="13.5" customHeight="1" x14ac:dyDescent="0.2">
      <c r="C17" s="290"/>
      <c r="D17" s="292"/>
      <c r="E17" s="290"/>
      <c r="F17" s="288"/>
      <c r="G17" s="288"/>
      <c r="H17" s="162"/>
      <c r="I17" s="288"/>
      <c r="J17" s="288"/>
      <c r="K17" s="288"/>
      <c r="L17" s="288"/>
      <c r="M17" s="288"/>
      <c r="N17" s="288"/>
      <c r="O17" s="288"/>
      <c r="P17" s="288"/>
      <c r="Q17" s="635"/>
      <c r="R17" s="635"/>
      <c r="S17" s="288"/>
      <c r="T17" s="288"/>
      <c r="U17" s="635"/>
      <c r="V17" s="635"/>
    </row>
    <row r="18" spans="3:22" ht="13.5" customHeight="1" x14ac:dyDescent="0.2">
      <c r="C18" s="290"/>
      <c r="D18" s="292" t="s">
        <v>155</v>
      </c>
      <c r="E18" s="290"/>
      <c r="F18" s="288">
        <v>10046</v>
      </c>
      <c r="G18" s="288">
        <v>9665</v>
      </c>
      <c r="H18" s="162"/>
      <c r="I18" s="288">
        <v>7425</v>
      </c>
      <c r="J18" s="288">
        <v>7413</v>
      </c>
      <c r="K18" s="288"/>
      <c r="L18" s="288">
        <v>281</v>
      </c>
      <c r="M18" s="288">
        <v>830</v>
      </c>
      <c r="N18" s="288"/>
      <c r="O18" s="288">
        <v>5805</v>
      </c>
      <c r="P18" s="288">
        <v>6958</v>
      </c>
      <c r="Q18" s="635">
        <v>13499</v>
      </c>
      <c r="R18" s="635"/>
      <c r="S18" s="288"/>
      <c r="T18" s="288"/>
      <c r="U18" s="635"/>
      <c r="V18" s="635"/>
    </row>
    <row r="19" spans="3:22" ht="13.5" customHeight="1" x14ac:dyDescent="0.2">
      <c r="C19" s="290"/>
      <c r="D19" s="292"/>
      <c r="E19" s="290"/>
      <c r="F19" s="288"/>
      <c r="G19" s="288"/>
      <c r="H19" s="162"/>
      <c r="I19" s="288"/>
      <c r="J19" s="288"/>
      <c r="K19" s="288"/>
      <c r="L19" s="288"/>
      <c r="M19" s="288"/>
      <c r="N19" s="288"/>
      <c r="O19" s="288"/>
      <c r="P19" s="288"/>
      <c r="Q19" s="635"/>
      <c r="R19" s="635"/>
      <c r="S19" s="288"/>
      <c r="T19" s="288"/>
      <c r="U19" s="635"/>
      <c r="V19" s="635"/>
    </row>
    <row r="20" spans="3:22" ht="13.5" customHeight="1" x14ac:dyDescent="0.2">
      <c r="C20" s="290"/>
      <c r="D20" s="292" t="s">
        <v>156</v>
      </c>
      <c r="E20" s="290"/>
      <c r="F20" s="288">
        <v>3805</v>
      </c>
      <c r="G20" s="288">
        <v>3757</v>
      </c>
      <c r="H20" s="162"/>
      <c r="I20" s="288">
        <v>947</v>
      </c>
      <c r="J20" s="288">
        <v>959</v>
      </c>
      <c r="K20" s="288"/>
      <c r="L20" s="288">
        <v>110</v>
      </c>
      <c r="M20" s="288">
        <v>210</v>
      </c>
      <c r="N20" s="288"/>
      <c r="O20" s="288">
        <v>2039</v>
      </c>
      <c r="P20" s="288">
        <v>2577</v>
      </c>
      <c r="Q20" s="635">
        <v>1910</v>
      </c>
      <c r="R20" s="635"/>
      <c r="S20" s="288"/>
      <c r="T20" s="288"/>
      <c r="U20" s="635"/>
      <c r="V20" s="635"/>
    </row>
    <row r="21" spans="3:22" ht="13.5" customHeight="1" x14ac:dyDescent="0.2">
      <c r="C21" s="290"/>
      <c r="D21" s="292"/>
      <c r="E21" s="290"/>
      <c r="F21" s="285"/>
      <c r="G21" s="285"/>
      <c r="H21" s="162"/>
      <c r="I21" s="285"/>
      <c r="J21" s="285"/>
      <c r="K21" s="285"/>
      <c r="L21" s="285"/>
      <c r="M21" s="285"/>
      <c r="N21" s="285"/>
      <c r="O21" s="285"/>
      <c r="P21" s="285"/>
      <c r="Q21" s="635"/>
      <c r="R21" s="635"/>
      <c r="S21" s="285"/>
      <c r="T21" s="285"/>
      <c r="U21" s="635"/>
      <c r="V21" s="635"/>
    </row>
    <row r="22" spans="3:22" ht="13.5" customHeight="1" x14ac:dyDescent="0.2">
      <c r="C22" s="290"/>
      <c r="D22" s="292" t="s">
        <v>157</v>
      </c>
      <c r="E22" s="290"/>
      <c r="F22" s="288">
        <v>1682</v>
      </c>
      <c r="G22" s="288">
        <v>2149</v>
      </c>
      <c r="H22" s="162"/>
      <c r="I22" s="288">
        <v>2088</v>
      </c>
      <c r="J22" s="288">
        <v>2126</v>
      </c>
      <c r="K22" s="288"/>
      <c r="L22" s="288">
        <v>18</v>
      </c>
      <c r="M22" s="288">
        <v>75</v>
      </c>
      <c r="N22" s="288"/>
      <c r="O22" s="288">
        <v>1062</v>
      </c>
      <c r="P22" s="288">
        <v>1225</v>
      </c>
      <c r="Q22" s="635">
        <v>188</v>
      </c>
      <c r="R22" s="635"/>
      <c r="S22" s="288"/>
      <c r="T22" s="288"/>
      <c r="U22" s="635"/>
      <c r="V22" s="635"/>
    </row>
    <row r="23" spans="3:22" ht="13.5" customHeight="1" x14ac:dyDescent="0.2">
      <c r="C23" s="290"/>
      <c r="D23" s="292"/>
      <c r="E23" s="290"/>
      <c r="F23" s="288"/>
      <c r="G23" s="288"/>
      <c r="H23" s="162"/>
      <c r="I23" s="288"/>
      <c r="J23" s="288"/>
      <c r="K23" s="288"/>
      <c r="L23" s="288"/>
      <c r="M23" s="288"/>
      <c r="N23" s="288"/>
      <c r="O23" s="288"/>
      <c r="P23" s="288"/>
      <c r="Q23" s="635"/>
      <c r="R23" s="635"/>
      <c r="S23" s="288"/>
      <c r="T23" s="288"/>
      <c r="U23" s="635"/>
      <c r="V23" s="635"/>
    </row>
    <row r="24" spans="3:22" ht="13.5" customHeight="1" x14ac:dyDescent="0.2">
      <c r="C24" s="290"/>
      <c r="D24" s="292" t="s">
        <v>158</v>
      </c>
      <c r="E24" s="290"/>
      <c r="F24" s="288">
        <v>604</v>
      </c>
      <c r="G24" s="288">
        <v>713</v>
      </c>
      <c r="H24" s="162"/>
      <c r="I24" s="288">
        <v>1890</v>
      </c>
      <c r="J24" s="288">
        <v>1899</v>
      </c>
      <c r="K24" s="288"/>
      <c r="L24" s="288">
        <v>59</v>
      </c>
      <c r="M24" s="288">
        <v>105</v>
      </c>
      <c r="N24" s="288"/>
      <c r="O24" s="288">
        <v>913</v>
      </c>
      <c r="P24" s="288">
        <v>1065</v>
      </c>
      <c r="Q24" s="635">
        <v>1201</v>
      </c>
      <c r="R24" s="635"/>
      <c r="S24" s="288"/>
      <c r="T24" s="288"/>
      <c r="U24" s="635"/>
      <c r="V24" s="635"/>
    </row>
    <row r="25" spans="3:22" ht="13.5" customHeight="1" x14ac:dyDescent="0.2">
      <c r="C25" s="290"/>
      <c r="D25" s="292"/>
      <c r="E25" s="290"/>
      <c r="F25" s="288"/>
      <c r="G25" s="288"/>
      <c r="H25" s="162"/>
      <c r="I25" s="288"/>
      <c r="J25" s="288"/>
      <c r="K25" s="288"/>
      <c r="L25" s="288"/>
      <c r="M25" s="288"/>
      <c r="N25" s="288"/>
      <c r="O25" s="288"/>
      <c r="P25" s="288"/>
      <c r="Q25" s="635"/>
      <c r="R25" s="635"/>
      <c r="S25" s="288"/>
      <c r="T25" s="288"/>
      <c r="U25" s="635"/>
      <c r="V25" s="635"/>
    </row>
    <row r="26" spans="3:22" ht="13.5" customHeight="1" x14ac:dyDescent="0.2">
      <c r="C26" s="290"/>
      <c r="D26" s="291" t="s">
        <v>18</v>
      </c>
      <c r="E26" s="298"/>
      <c r="F26" s="287">
        <v>4932</v>
      </c>
      <c r="G26" s="287">
        <v>5115</v>
      </c>
      <c r="H26" s="287"/>
      <c r="I26" s="287">
        <v>4878</v>
      </c>
      <c r="J26" s="287">
        <v>4997</v>
      </c>
      <c r="K26" s="287"/>
      <c r="L26" s="287">
        <v>228</v>
      </c>
      <c r="M26" s="287">
        <v>142</v>
      </c>
      <c r="N26" s="287"/>
      <c r="O26" s="287">
        <v>2826</v>
      </c>
      <c r="P26" s="287">
        <v>3385</v>
      </c>
      <c r="Q26" s="640">
        <v>1601</v>
      </c>
      <c r="R26" s="640"/>
      <c r="S26" s="325"/>
      <c r="T26" s="325"/>
      <c r="U26" s="640"/>
      <c r="V26" s="640"/>
    </row>
    <row r="27" spans="3:22" x14ac:dyDescent="0.2">
      <c r="C27" s="290"/>
      <c r="D27" s="304" t="s">
        <v>173</v>
      </c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</row>
    <row r="28" spans="3:22" ht="13.5" customHeight="1" x14ac:dyDescent="0.2">
      <c r="C28" s="290"/>
      <c r="D28" s="290" t="s">
        <v>178</v>
      </c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</row>
    <row r="29" spans="3:22" ht="13.5" customHeight="1" x14ac:dyDescent="0.2"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</row>
    <row r="30" spans="3:22" ht="13.5" customHeight="1" x14ac:dyDescent="0.2">
      <c r="C30" s="290"/>
      <c r="D30" s="161" t="s">
        <v>174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</row>
    <row r="31" spans="3:22" ht="13.5" customHeight="1" x14ac:dyDescent="0.2">
      <c r="C31" s="290"/>
      <c r="D31" s="30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</row>
    <row r="32" spans="3:22" ht="13.5" customHeight="1" x14ac:dyDescent="0.2">
      <c r="C32" s="290"/>
      <c r="D32" s="306" t="s">
        <v>181</v>
      </c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</row>
    <row r="33" spans="3:18" ht="13.5" customHeight="1" x14ac:dyDescent="0.2">
      <c r="D33" s="102"/>
    </row>
    <row r="34" spans="3:18" ht="13.5" customHeight="1" x14ac:dyDescent="0.2">
      <c r="D34" s="102"/>
    </row>
    <row r="35" spans="3:18" ht="13.5" customHeight="1" x14ac:dyDescent="0.2">
      <c r="D35" s="102"/>
    </row>
    <row r="36" spans="3:18" x14ac:dyDescent="0.2"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3:18" x14ac:dyDescent="0.2"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3:18" ht="9" customHeight="1" x14ac:dyDescent="0.2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3:18" x14ac:dyDescent="0.2">
      <c r="C39" s="624">
        <v>37</v>
      </c>
      <c r="D39" s="624"/>
      <c r="E39" s="624"/>
      <c r="F39" s="624"/>
      <c r="G39" s="624"/>
      <c r="H39" s="624"/>
      <c r="I39" s="624"/>
      <c r="J39" s="624"/>
      <c r="K39" s="624"/>
      <c r="L39" s="624"/>
      <c r="M39" s="624"/>
      <c r="N39" s="18"/>
    </row>
    <row r="40" spans="3:18" x14ac:dyDescent="0.2"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3:18" x14ac:dyDescent="0.2">
      <c r="D41" s="108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3:18" x14ac:dyDescent="0.2"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3:18" x14ac:dyDescent="0.2"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3:18" x14ac:dyDescent="0.2"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3:18" x14ac:dyDescent="0.2"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3:18" x14ac:dyDescent="0.2">
      <c r="C46"/>
      <c r="D46"/>
      <c r="E46"/>
      <c r="F46"/>
      <c r="G46"/>
      <c r="H46"/>
      <c r="I46"/>
      <c r="J46"/>
      <c r="K46"/>
      <c r="L46"/>
      <c r="M46"/>
      <c r="N46"/>
    </row>
    <row r="47" spans="3:18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3:18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ht="12" customHeight="1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">
      <c r="C54"/>
      <c r="D54"/>
      <c r="E54"/>
      <c r="F54"/>
      <c r="G54"/>
      <c r="H54"/>
      <c r="I54"/>
      <c r="J54"/>
      <c r="K54"/>
      <c r="L54"/>
      <c r="M54"/>
      <c r="N54"/>
    </row>
    <row r="55" spans="3:14" ht="12.75" customHeight="1" x14ac:dyDescent="0.2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">
      <c r="C59"/>
      <c r="D59"/>
      <c r="E59"/>
      <c r="F59"/>
      <c r="G59"/>
      <c r="H59"/>
      <c r="I59"/>
      <c r="J59"/>
      <c r="K59"/>
      <c r="L59"/>
      <c r="M59"/>
      <c r="N59"/>
    </row>
    <row r="60" spans="3:14" ht="9.75" customHeight="1" x14ac:dyDescent="0.2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">
      <c r="C63"/>
      <c r="D63"/>
      <c r="E63"/>
      <c r="F63"/>
      <c r="G63"/>
      <c r="H63"/>
      <c r="I63"/>
      <c r="J63"/>
      <c r="K63"/>
      <c r="L63"/>
      <c r="M63"/>
      <c r="N63"/>
    </row>
    <row r="64" spans="3:14" ht="9" customHeight="1" x14ac:dyDescent="0.2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">
      <c r="C68"/>
      <c r="D68"/>
      <c r="E68"/>
      <c r="F68"/>
      <c r="G68"/>
      <c r="H68"/>
      <c r="I68"/>
      <c r="J68"/>
      <c r="K68"/>
      <c r="L68"/>
      <c r="M68"/>
      <c r="N68"/>
    </row>
  </sheetData>
  <mergeCells count="35">
    <mergeCell ref="U16:V16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22:V22"/>
    <mergeCell ref="S11:V11"/>
    <mergeCell ref="U12:V12"/>
    <mergeCell ref="U13:V13"/>
    <mergeCell ref="U14:V14"/>
    <mergeCell ref="U15:V15"/>
    <mergeCell ref="C39:M39"/>
    <mergeCell ref="Q19:R19"/>
    <mergeCell ref="Q26:R26"/>
    <mergeCell ref="Q25:R25"/>
    <mergeCell ref="Q24:R24"/>
    <mergeCell ref="Q20:R20"/>
    <mergeCell ref="Q21:R21"/>
    <mergeCell ref="Q22:R22"/>
    <mergeCell ref="Q23:R23"/>
    <mergeCell ref="O11:R11"/>
    <mergeCell ref="Q13:R13"/>
    <mergeCell ref="Q17:R17"/>
    <mergeCell ref="D9:R9"/>
    <mergeCell ref="Q18:R18"/>
    <mergeCell ref="I11:J11"/>
    <mergeCell ref="Q12:R12"/>
    <mergeCell ref="Q14:R14"/>
    <mergeCell ref="Q15:R15"/>
    <mergeCell ref="Q16:R16"/>
  </mergeCells>
  <phoneticPr fontId="29" type="noConversion"/>
  <printOptions horizontalCentered="1"/>
  <pageMargins left="0.5" right="0.5" top="0.87" bottom="0.83" header="0.5" footer="0.24"/>
  <pageSetup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9457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57150</xdr:rowOff>
              </from>
              <to>
                <xdr:col>2</xdr:col>
                <xdr:colOff>247650</xdr:colOff>
                <xdr:row>0</xdr:row>
                <xdr:rowOff>161925</xdr:rowOff>
              </to>
            </anchor>
          </objectPr>
        </oleObject>
      </mc:Choice>
      <mc:Fallback>
        <oleObject progId="MSPhotoEd.3" shapeId="194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39997558519241921"/>
    <pageSetUpPr fitToPage="1"/>
  </sheetPr>
  <dimension ref="B2:M74"/>
  <sheetViews>
    <sheetView zoomScaleNormal="100" zoomScaleSheetLayoutView="81" workbookViewId="0">
      <pane xSplit="3" topLeftCell="D1" activePane="topRight" state="frozen"/>
      <selection activeCell="A15" sqref="A15"/>
      <selection pane="topRight" activeCell="J4" sqref="J4"/>
    </sheetView>
  </sheetViews>
  <sheetFormatPr defaultColWidth="9.140625" defaultRowHeight="14.25" x14ac:dyDescent="0.2"/>
  <cols>
    <col min="1" max="1" width="9.140625" style="282"/>
    <col min="2" max="2" width="6.85546875" style="282" customWidth="1"/>
    <col min="3" max="3" width="33.42578125" style="280" customWidth="1"/>
    <col min="4" max="16384" width="9.140625" style="282"/>
  </cols>
  <sheetData>
    <row r="2" spans="2:13" x14ac:dyDescent="0.2">
      <c r="H2" s="604" t="s">
        <v>340</v>
      </c>
      <c r="I2" s="604"/>
      <c r="J2" s="604"/>
      <c r="K2" s="604"/>
    </row>
    <row r="5" spans="2:13" s="280" customFormat="1" ht="9" customHeight="1" x14ac:dyDescent="0.2"/>
    <row r="6" spans="2:13" s="280" customFormat="1" ht="12.75" x14ac:dyDescent="0.2">
      <c r="M6" s="154"/>
    </row>
    <row r="7" spans="2:13" s="280" customFormat="1" ht="15.75" x14ac:dyDescent="0.25">
      <c r="C7" s="609" t="s">
        <v>358</v>
      </c>
      <c r="D7" s="609"/>
      <c r="E7" s="609"/>
      <c r="F7" s="609"/>
      <c r="G7" s="609"/>
      <c r="H7" s="609"/>
      <c r="I7" s="609"/>
      <c r="J7" s="609"/>
      <c r="K7" s="609"/>
      <c r="L7" s="609"/>
      <c r="M7" s="154"/>
    </row>
    <row r="8" spans="2:13" s="280" customFormat="1" ht="15.75" x14ac:dyDescent="0.25">
      <c r="D8" s="367"/>
      <c r="E8" s="367"/>
      <c r="F8" s="367"/>
      <c r="G8" s="367"/>
      <c r="H8" s="367"/>
      <c r="I8" s="367"/>
      <c r="J8" s="367"/>
      <c r="M8" s="154"/>
    </row>
    <row r="9" spans="2:13" s="408" customFormat="1" ht="15" customHeight="1" x14ac:dyDescent="0.25">
      <c r="B9" s="406" t="s">
        <v>224</v>
      </c>
      <c r="C9" s="559"/>
      <c r="D9" s="559"/>
      <c r="E9" s="559"/>
      <c r="F9" s="407"/>
    </row>
    <row r="10" spans="2:13" s="408" customFormat="1" ht="15" x14ac:dyDescent="0.25">
      <c r="C10" s="280"/>
      <c r="D10" s="407"/>
      <c r="E10" s="407"/>
    </row>
    <row r="11" spans="2:13" s="408" customFormat="1" ht="15" x14ac:dyDescent="0.25">
      <c r="B11" s="280"/>
    </row>
    <row r="12" spans="2:13" x14ac:dyDescent="0.2">
      <c r="C12" s="409" t="s">
        <v>198</v>
      </c>
      <c r="D12" s="410">
        <v>2014</v>
      </c>
      <c r="E12" s="410">
        <v>2015</v>
      </c>
      <c r="F12" s="410">
        <v>2016</v>
      </c>
      <c r="G12" s="410">
        <v>2017</v>
      </c>
      <c r="H12" s="410">
        <v>2018</v>
      </c>
      <c r="I12" s="410">
        <v>2019</v>
      </c>
      <c r="J12" s="410">
        <v>2020</v>
      </c>
      <c r="K12" s="410">
        <v>2021</v>
      </c>
      <c r="L12" s="410">
        <v>2022</v>
      </c>
    </row>
    <row r="13" spans="2:13" x14ac:dyDescent="0.2">
      <c r="C13" s="411"/>
      <c r="D13" s="413"/>
      <c r="E13" s="413"/>
      <c r="F13" s="413"/>
      <c r="G13" s="413"/>
      <c r="H13" s="413"/>
      <c r="I13" s="413"/>
      <c r="J13" s="413"/>
      <c r="K13" s="413"/>
    </row>
    <row r="14" spans="2:13" ht="15" x14ac:dyDescent="0.25">
      <c r="C14" s="411" t="s">
        <v>199</v>
      </c>
      <c r="D14" s="415">
        <f t="shared" ref="D14:J20" si="0">SUM(D22,D30,D38,D46,D54,D62)</f>
        <v>2018</v>
      </c>
      <c r="E14" s="415">
        <f t="shared" si="0"/>
        <v>1854</v>
      </c>
      <c r="F14" s="415">
        <f t="shared" si="0"/>
        <v>1994</v>
      </c>
      <c r="G14" s="415">
        <v>2071</v>
      </c>
      <c r="H14" s="415">
        <f t="shared" si="0"/>
        <v>1966</v>
      </c>
      <c r="I14" s="415">
        <f t="shared" si="0"/>
        <v>1929</v>
      </c>
      <c r="J14" s="415">
        <f>SUM(J22,J30,J38,J46,J54,J62)</f>
        <v>1780</v>
      </c>
      <c r="K14" s="415">
        <f t="shared" ref="K14:L19" si="1">SUM(K22,K30,K38,K46,K54,K62)</f>
        <v>2005</v>
      </c>
      <c r="L14" s="416">
        <f t="shared" si="1"/>
        <v>2056</v>
      </c>
    </row>
    <row r="15" spans="2:13" ht="15" x14ac:dyDescent="0.25">
      <c r="C15" s="417" t="s">
        <v>183</v>
      </c>
      <c r="D15" s="415">
        <f t="shared" si="0"/>
        <v>1226</v>
      </c>
      <c r="E15" s="415">
        <f t="shared" si="0"/>
        <v>1180</v>
      </c>
      <c r="F15" s="415">
        <f>SUM(F23,F31,F39,F47,F55,F63)</f>
        <v>1183</v>
      </c>
      <c r="G15" s="415">
        <f t="shared" si="0"/>
        <v>1374</v>
      </c>
      <c r="H15" s="415">
        <f t="shared" si="0"/>
        <v>1323</v>
      </c>
      <c r="I15" s="415">
        <f t="shared" si="0"/>
        <v>1193</v>
      </c>
      <c r="J15" s="415">
        <f>SUM(J23,J31,J39,J47,J55,J63)</f>
        <v>980</v>
      </c>
      <c r="K15" s="415">
        <f t="shared" si="1"/>
        <v>1051</v>
      </c>
      <c r="L15" s="416">
        <f t="shared" si="1"/>
        <v>1049</v>
      </c>
    </row>
    <row r="16" spans="2:13" x14ac:dyDescent="0.2">
      <c r="C16" s="417" t="s">
        <v>184</v>
      </c>
      <c r="D16" s="418">
        <f t="shared" si="0"/>
        <v>480</v>
      </c>
      <c r="E16" s="418">
        <f t="shared" si="0"/>
        <v>359</v>
      </c>
      <c r="F16" s="418">
        <f>SUM(F24,F32,F40,F48,F56,F64)</f>
        <v>509</v>
      </c>
      <c r="G16" s="418">
        <f t="shared" si="0"/>
        <v>422</v>
      </c>
      <c r="H16" s="418">
        <f t="shared" si="0"/>
        <v>393</v>
      </c>
      <c r="I16" s="418">
        <f t="shared" si="0"/>
        <v>470</v>
      </c>
      <c r="J16" s="418">
        <f t="shared" si="0"/>
        <v>558</v>
      </c>
      <c r="K16" s="418">
        <f t="shared" si="1"/>
        <v>668</v>
      </c>
      <c r="L16" s="419">
        <f>SUM(L24,L32,L40,L48,L56,L64)</f>
        <v>704</v>
      </c>
    </row>
    <row r="17" spans="3:12" x14ac:dyDescent="0.2">
      <c r="C17" s="417" t="s">
        <v>185</v>
      </c>
      <c r="D17" s="348">
        <v>312</v>
      </c>
      <c r="E17" s="418">
        <f t="shared" si="0"/>
        <v>315</v>
      </c>
      <c r="F17" s="418">
        <v>302</v>
      </c>
      <c r="G17" s="418">
        <v>275</v>
      </c>
      <c r="H17" s="418">
        <f t="shared" si="0"/>
        <v>250</v>
      </c>
      <c r="I17" s="418">
        <f t="shared" si="0"/>
        <v>266</v>
      </c>
      <c r="J17" s="418">
        <f t="shared" si="0"/>
        <v>242</v>
      </c>
      <c r="K17" s="418">
        <v>313</v>
      </c>
      <c r="L17" s="419">
        <f>SUM(L25,L33,L41,L49,L57,L65)</f>
        <v>303</v>
      </c>
    </row>
    <row r="18" spans="3:12" x14ac:dyDescent="0.2">
      <c r="C18" s="420" t="s">
        <v>26</v>
      </c>
      <c r="D18" s="418">
        <f t="shared" si="0"/>
        <v>944</v>
      </c>
      <c r="E18" s="418">
        <f t="shared" si="0"/>
        <v>880</v>
      </c>
      <c r="F18" s="418">
        <f>SUM(F26,F34,F42,F50,F58,F66)</f>
        <v>975</v>
      </c>
      <c r="G18" s="418">
        <f t="shared" ref="G18:I20" si="2">SUM(G26,G34,G42,G50,G58,G66)</f>
        <v>1053</v>
      </c>
      <c r="H18" s="418">
        <f t="shared" si="2"/>
        <v>979</v>
      </c>
      <c r="I18" s="418">
        <f t="shared" si="2"/>
        <v>919</v>
      </c>
      <c r="J18" s="418">
        <f t="shared" si="0"/>
        <v>925</v>
      </c>
      <c r="K18" s="418">
        <f t="shared" si="1"/>
        <v>986</v>
      </c>
      <c r="L18" s="419">
        <f t="shared" si="1"/>
        <v>987</v>
      </c>
    </row>
    <row r="19" spans="3:12" x14ac:dyDescent="0.2">
      <c r="C19" s="420" t="s">
        <v>25</v>
      </c>
      <c r="D19" s="418">
        <f t="shared" si="0"/>
        <v>1074</v>
      </c>
      <c r="E19" s="418">
        <f t="shared" si="0"/>
        <v>974</v>
      </c>
      <c r="F19" s="418">
        <f>SUM(F27,F35,F43,F51,F59,F67)</f>
        <v>1019</v>
      </c>
      <c r="G19" s="418">
        <f t="shared" si="2"/>
        <v>1053</v>
      </c>
      <c r="H19" s="418">
        <f t="shared" si="2"/>
        <v>987</v>
      </c>
      <c r="I19" s="418">
        <f t="shared" si="2"/>
        <v>1010</v>
      </c>
      <c r="J19" s="418">
        <f t="shared" si="0"/>
        <v>855</v>
      </c>
      <c r="K19" s="418">
        <f t="shared" si="1"/>
        <v>1019</v>
      </c>
      <c r="L19" s="419">
        <f t="shared" si="1"/>
        <v>1069</v>
      </c>
    </row>
    <row r="20" spans="3:12" ht="15" x14ac:dyDescent="0.25">
      <c r="C20" s="412" t="s">
        <v>225</v>
      </c>
      <c r="D20" s="415">
        <f t="shared" si="0"/>
        <v>42</v>
      </c>
      <c r="E20" s="415">
        <f t="shared" si="0"/>
        <v>39</v>
      </c>
      <c r="F20" s="415">
        <f>SUM(F28,F36,F44,F52,F60,F68)</f>
        <v>26</v>
      </c>
      <c r="G20" s="415">
        <f t="shared" si="2"/>
        <v>26</v>
      </c>
      <c r="H20" s="415">
        <f t="shared" si="2"/>
        <v>41</v>
      </c>
      <c r="I20" s="415">
        <f t="shared" si="2"/>
        <v>39</v>
      </c>
      <c r="J20" s="415">
        <f t="shared" si="0"/>
        <v>48</v>
      </c>
      <c r="K20" s="415">
        <v>48</v>
      </c>
      <c r="L20" s="416">
        <v>49</v>
      </c>
    </row>
    <row r="21" spans="3:12" x14ac:dyDescent="0.2">
      <c r="C21" s="411"/>
      <c r="D21" s="348"/>
      <c r="E21" s="348"/>
      <c r="F21" s="348"/>
      <c r="G21" s="348"/>
      <c r="H21" s="348"/>
      <c r="I21" s="348"/>
      <c r="J21" s="348"/>
      <c r="K21" s="348"/>
      <c r="L21" s="421"/>
    </row>
    <row r="22" spans="3:12" ht="15" x14ac:dyDescent="0.25">
      <c r="C22" s="411" t="s">
        <v>154</v>
      </c>
      <c r="D22" s="423">
        <f>IF(SUM(D23:D25)&lt;&gt;SUM(D26:D27),"ERROR",SUM(D23:D25))</f>
        <v>1544</v>
      </c>
      <c r="E22" s="423">
        <f>IF(SUM(E23:E25)&lt;&gt;SUM(E26:E27),"ERROR",SUM(E23:E25))</f>
        <v>1401</v>
      </c>
      <c r="F22" s="423">
        <f>IF(SUM(F23:F25)&lt;&gt;SUM(F26:F27),"ERROR",SUM(F23:F25))</f>
        <v>1555</v>
      </c>
      <c r="G22" s="423">
        <v>1652</v>
      </c>
      <c r="H22" s="423">
        <f>IF(SUM(H23:H25)&lt;&gt;SUM(H26:H27),"ERROR",SUM(H23:H25))</f>
        <v>1622</v>
      </c>
      <c r="I22" s="423">
        <f>IF(SUM(I23:I25)&lt;&gt;SUM(I26:I27),"ERROR",SUM(I23:I25))</f>
        <v>1565</v>
      </c>
      <c r="J22" s="423">
        <f>IF(SUM(J23:J25)&lt;&gt;SUM(J26:J27),"ERROR",SUM(J23:J25))</f>
        <v>1458</v>
      </c>
      <c r="K22" s="423">
        <f>IF(SUM(K23:K25)&lt;&gt;SUM(K26:K27),"ERROR",SUM(K23:K25))</f>
        <v>1625</v>
      </c>
      <c r="L22" s="424">
        <f>IF(SUM(L23:L25)&lt;&gt;SUM(L26:L27),"ERROR",SUM(L23:L25))</f>
        <v>1643</v>
      </c>
    </row>
    <row r="23" spans="3:12" x14ac:dyDescent="0.2">
      <c r="C23" s="417" t="s">
        <v>183</v>
      </c>
      <c r="D23" s="348">
        <v>999</v>
      </c>
      <c r="E23" s="348">
        <v>965</v>
      </c>
      <c r="F23" s="348">
        <v>981</v>
      </c>
      <c r="G23" s="348">
        <v>1160</v>
      </c>
      <c r="H23" s="348">
        <v>1160</v>
      </c>
      <c r="I23" s="348">
        <v>1016</v>
      </c>
      <c r="J23" s="348">
        <v>828</v>
      </c>
      <c r="K23" s="348">
        <v>865</v>
      </c>
      <c r="L23" s="421">
        <v>847</v>
      </c>
    </row>
    <row r="24" spans="3:12" x14ac:dyDescent="0.2">
      <c r="C24" s="417" t="s">
        <v>184</v>
      </c>
      <c r="D24" s="348">
        <v>464</v>
      </c>
      <c r="E24" s="348">
        <v>348</v>
      </c>
      <c r="F24" s="348">
        <v>492</v>
      </c>
      <c r="G24" s="348">
        <v>404</v>
      </c>
      <c r="H24" s="348">
        <v>376</v>
      </c>
      <c r="I24" s="348">
        <v>449</v>
      </c>
      <c r="J24" s="348">
        <v>541</v>
      </c>
      <c r="K24" s="348">
        <v>658</v>
      </c>
      <c r="L24" s="421">
        <v>696</v>
      </c>
    </row>
    <row r="25" spans="3:12" x14ac:dyDescent="0.2">
      <c r="C25" s="417" t="s">
        <v>185</v>
      </c>
      <c r="D25" s="348">
        <v>81</v>
      </c>
      <c r="E25" s="348">
        <v>88</v>
      </c>
      <c r="F25" s="348">
        <v>82</v>
      </c>
      <c r="G25" s="348">
        <v>88</v>
      </c>
      <c r="H25" s="348">
        <v>86</v>
      </c>
      <c r="I25" s="348">
        <v>100</v>
      </c>
      <c r="J25" s="348">
        <v>89</v>
      </c>
      <c r="K25" s="348">
        <v>102</v>
      </c>
      <c r="L25" s="421">
        <v>100</v>
      </c>
    </row>
    <row r="26" spans="3:12" x14ac:dyDescent="0.2">
      <c r="C26" s="420" t="s">
        <v>26</v>
      </c>
      <c r="D26" s="348">
        <v>724</v>
      </c>
      <c r="E26" s="348">
        <v>679</v>
      </c>
      <c r="F26" s="348">
        <v>777</v>
      </c>
      <c r="G26" s="348">
        <v>841</v>
      </c>
      <c r="H26" s="348">
        <v>806</v>
      </c>
      <c r="I26" s="425">
        <v>749</v>
      </c>
      <c r="J26" s="348">
        <v>758</v>
      </c>
      <c r="K26" s="348">
        <v>813</v>
      </c>
      <c r="L26" s="421">
        <v>789</v>
      </c>
    </row>
    <row r="27" spans="3:12" x14ac:dyDescent="0.2">
      <c r="C27" s="420" t="s">
        <v>25</v>
      </c>
      <c r="D27" s="348">
        <v>820</v>
      </c>
      <c r="E27" s="348">
        <v>722</v>
      </c>
      <c r="F27" s="348">
        <v>778</v>
      </c>
      <c r="G27" s="348">
        <v>846</v>
      </c>
      <c r="H27" s="348">
        <v>816</v>
      </c>
      <c r="I27" s="425">
        <v>816</v>
      </c>
      <c r="J27" s="348">
        <v>700</v>
      </c>
      <c r="K27" s="348">
        <v>812</v>
      </c>
      <c r="L27" s="421">
        <v>854</v>
      </c>
    </row>
    <row r="28" spans="3:12" x14ac:dyDescent="0.2">
      <c r="C28" s="412" t="s">
        <v>225</v>
      </c>
      <c r="D28" s="348">
        <v>26</v>
      </c>
      <c r="E28" s="348">
        <v>26</v>
      </c>
      <c r="F28" s="348">
        <v>26</v>
      </c>
      <c r="G28" s="348">
        <v>26</v>
      </c>
      <c r="H28" s="348">
        <v>26</v>
      </c>
      <c r="I28" s="426">
        <v>28</v>
      </c>
      <c r="J28" s="348">
        <v>34</v>
      </c>
      <c r="K28" s="348">
        <v>34</v>
      </c>
      <c r="L28" s="427">
        <v>34</v>
      </c>
    </row>
    <row r="29" spans="3:12" x14ac:dyDescent="0.2">
      <c r="C29" s="412"/>
      <c r="D29" s="348"/>
      <c r="E29" s="348"/>
      <c r="F29" s="348"/>
      <c r="G29" s="348"/>
      <c r="H29" s="348"/>
      <c r="I29" s="348"/>
      <c r="J29" s="348"/>
      <c r="K29" s="348"/>
      <c r="L29" s="421"/>
    </row>
    <row r="30" spans="3:12" ht="15" x14ac:dyDescent="0.25">
      <c r="C30" s="411" t="s">
        <v>155</v>
      </c>
      <c r="D30" s="423">
        <f t="shared" ref="D30:L30" si="3">IF(SUM(D31:D33)&lt;&gt;SUM(D34:D35),"ERROR",SUM(D31:D33))</f>
        <v>211</v>
      </c>
      <c r="E30" s="423">
        <f t="shared" si="3"/>
        <v>187</v>
      </c>
      <c r="F30" s="423">
        <f t="shared" si="3"/>
        <v>180</v>
      </c>
      <c r="G30" s="423">
        <f t="shared" si="3"/>
        <v>178</v>
      </c>
      <c r="H30" s="423">
        <f t="shared" si="3"/>
        <v>158</v>
      </c>
      <c r="I30" s="423">
        <f t="shared" si="3"/>
        <v>147</v>
      </c>
      <c r="J30" s="423">
        <f t="shared" si="3"/>
        <v>114</v>
      </c>
      <c r="K30" s="423">
        <f t="shared" si="3"/>
        <v>143</v>
      </c>
      <c r="L30" s="424">
        <f t="shared" si="3"/>
        <v>152</v>
      </c>
    </row>
    <row r="31" spans="3:12" x14ac:dyDescent="0.2">
      <c r="C31" s="417" t="s">
        <v>183</v>
      </c>
      <c r="D31" s="348">
        <v>128</v>
      </c>
      <c r="E31" s="348">
        <v>96</v>
      </c>
      <c r="F31" s="348">
        <v>91</v>
      </c>
      <c r="G31" s="348">
        <v>97</v>
      </c>
      <c r="H31" s="348">
        <v>87</v>
      </c>
      <c r="I31" s="348">
        <v>67</v>
      </c>
      <c r="J31" s="348">
        <v>50</v>
      </c>
      <c r="K31" s="348">
        <v>78</v>
      </c>
      <c r="L31" s="421">
        <v>87</v>
      </c>
    </row>
    <row r="32" spans="3:12" x14ac:dyDescent="0.2">
      <c r="C32" s="417" t="s">
        <v>184</v>
      </c>
      <c r="D32" s="348">
        <v>16</v>
      </c>
      <c r="E32" s="348">
        <v>11</v>
      </c>
      <c r="F32" s="348">
        <v>17</v>
      </c>
      <c r="G32" s="348">
        <v>18</v>
      </c>
      <c r="H32" s="348">
        <v>17</v>
      </c>
      <c r="I32" s="348">
        <v>21</v>
      </c>
      <c r="J32" s="348">
        <v>17</v>
      </c>
      <c r="K32" s="348">
        <v>10</v>
      </c>
      <c r="L32" s="421">
        <v>8</v>
      </c>
    </row>
    <row r="33" spans="3:12" x14ac:dyDescent="0.2">
      <c r="C33" s="417" t="s">
        <v>185</v>
      </c>
      <c r="D33" s="348">
        <v>67</v>
      </c>
      <c r="E33" s="348">
        <v>80</v>
      </c>
      <c r="F33" s="348">
        <v>72</v>
      </c>
      <c r="G33" s="348">
        <v>63</v>
      </c>
      <c r="H33" s="348">
        <v>54</v>
      </c>
      <c r="I33" s="348">
        <v>59</v>
      </c>
      <c r="J33" s="348">
        <v>47</v>
      </c>
      <c r="K33" s="348">
        <v>55</v>
      </c>
      <c r="L33" s="421">
        <v>57</v>
      </c>
    </row>
    <row r="34" spans="3:12" x14ac:dyDescent="0.2">
      <c r="C34" s="420" t="s">
        <v>26</v>
      </c>
      <c r="D34" s="348">
        <v>106</v>
      </c>
      <c r="E34" s="348">
        <v>81</v>
      </c>
      <c r="F34" s="348">
        <v>86</v>
      </c>
      <c r="G34" s="348">
        <v>97</v>
      </c>
      <c r="H34" s="348">
        <v>82</v>
      </c>
      <c r="I34" s="428">
        <v>73</v>
      </c>
      <c r="J34" s="348">
        <v>61</v>
      </c>
      <c r="K34" s="348">
        <v>64</v>
      </c>
      <c r="L34" s="421">
        <v>74</v>
      </c>
    </row>
    <row r="35" spans="3:12" x14ac:dyDescent="0.2">
      <c r="C35" s="420" t="s">
        <v>25</v>
      </c>
      <c r="D35" s="348">
        <v>105</v>
      </c>
      <c r="E35" s="348">
        <v>106</v>
      </c>
      <c r="F35" s="348">
        <v>94</v>
      </c>
      <c r="G35" s="348">
        <v>81</v>
      </c>
      <c r="H35" s="348">
        <v>76</v>
      </c>
      <c r="I35" s="429">
        <v>74</v>
      </c>
      <c r="J35" s="348">
        <v>53</v>
      </c>
      <c r="K35" s="348">
        <v>79</v>
      </c>
      <c r="L35" s="421">
        <v>78</v>
      </c>
    </row>
    <row r="36" spans="3:12" x14ac:dyDescent="0.2">
      <c r="C36" s="412" t="s">
        <v>225</v>
      </c>
      <c r="D36" s="348">
        <v>6</v>
      </c>
      <c r="E36" s="348">
        <v>5</v>
      </c>
      <c r="F36" s="430">
        <v>0</v>
      </c>
      <c r="G36" s="430">
        <v>0</v>
      </c>
      <c r="H36" s="348">
        <v>5</v>
      </c>
      <c r="I36" s="348">
        <v>5</v>
      </c>
      <c r="J36" s="348">
        <v>5</v>
      </c>
      <c r="K36" s="348">
        <v>5</v>
      </c>
      <c r="L36" s="421">
        <v>5</v>
      </c>
    </row>
    <row r="37" spans="3:12" x14ac:dyDescent="0.2">
      <c r="C37" s="412"/>
      <c r="D37" s="348"/>
      <c r="E37" s="348"/>
      <c r="F37" s="348"/>
      <c r="G37" s="348"/>
      <c r="H37" s="348"/>
      <c r="I37" s="348"/>
      <c r="J37" s="348"/>
      <c r="K37" s="348"/>
      <c r="L37" s="421"/>
    </row>
    <row r="38" spans="3:12" ht="15" x14ac:dyDescent="0.25">
      <c r="C38" s="411" t="s">
        <v>156</v>
      </c>
      <c r="D38" s="423">
        <f t="shared" ref="D38:L38" si="4">IF(SUM(D39:D41)&lt;&gt;SUM(D42:D43),"ERROR",SUM(D39:D41))</f>
        <v>141</v>
      </c>
      <c r="E38" s="423">
        <f t="shared" si="4"/>
        <v>171</v>
      </c>
      <c r="F38" s="423">
        <f t="shared" si="4"/>
        <v>172</v>
      </c>
      <c r="G38" s="423">
        <f t="shared" si="4"/>
        <v>154</v>
      </c>
      <c r="H38" s="423">
        <f t="shared" si="4"/>
        <v>110</v>
      </c>
      <c r="I38" s="423">
        <f t="shared" si="4"/>
        <v>145</v>
      </c>
      <c r="J38" s="423">
        <f>IF(SUM(J39:J41)&lt;&gt;SUM(J42:J43),"ERROR",SUM(J39:J41))</f>
        <v>127</v>
      </c>
      <c r="K38" s="423">
        <f t="shared" si="4"/>
        <v>143</v>
      </c>
      <c r="L38" s="424">
        <f t="shared" si="4"/>
        <v>164</v>
      </c>
    </row>
    <row r="39" spans="3:12" x14ac:dyDescent="0.2">
      <c r="C39" s="417" t="s">
        <v>183</v>
      </c>
      <c r="D39" s="348">
        <v>43</v>
      </c>
      <c r="E39" s="348">
        <v>71</v>
      </c>
      <c r="F39" s="348">
        <v>66</v>
      </c>
      <c r="G39" s="348">
        <v>65</v>
      </c>
      <c r="H39" s="348">
        <v>39</v>
      </c>
      <c r="I39" s="348">
        <v>72</v>
      </c>
      <c r="J39" s="348">
        <v>67</v>
      </c>
      <c r="K39" s="348">
        <v>74</v>
      </c>
      <c r="L39" s="421">
        <v>82</v>
      </c>
    </row>
    <row r="40" spans="3:12" x14ac:dyDescent="0.2">
      <c r="C40" s="417" t="s">
        <v>184</v>
      </c>
      <c r="D40" s="348"/>
      <c r="E40" s="348"/>
      <c r="F40" s="348"/>
      <c r="G40" s="348"/>
      <c r="H40" s="348"/>
      <c r="I40" s="348"/>
      <c r="J40" s="348"/>
      <c r="K40" s="348"/>
      <c r="L40" s="421"/>
    </row>
    <row r="41" spans="3:12" x14ac:dyDescent="0.2">
      <c r="C41" s="417" t="s">
        <v>185</v>
      </c>
      <c r="D41" s="348">
        <v>98</v>
      </c>
      <c r="E41" s="348">
        <v>100</v>
      </c>
      <c r="F41" s="348">
        <v>106</v>
      </c>
      <c r="G41" s="348">
        <v>89</v>
      </c>
      <c r="H41" s="348">
        <v>71</v>
      </c>
      <c r="I41" s="348">
        <v>73</v>
      </c>
      <c r="J41" s="348">
        <v>60</v>
      </c>
      <c r="K41" s="348">
        <v>69</v>
      </c>
      <c r="L41" s="421">
        <v>82</v>
      </c>
    </row>
    <row r="42" spans="3:12" x14ac:dyDescent="0.2">
      <c r="C42" s="420" t="s">
        <v>26</v>
      </c>
      <c r="D42" s="348">
        <v>66</v>
      </c>
      <c r="E42" s="348">
        <v>81</v>
      </c>
      <c r="F42" s="348">
        <v>69</v>
      </c>
      <c r="G42" s="348">
        <v>74</v>
      </c>
      <c r="H42" s="348">
        <v>58</v>
      </c>
      <c r="I42" s="428">
        <v>66</v>
      </c>
      <c r="J42" s="348">
        <v>58</v>
      </c>
      <c r="K42" s="348">
        <v>63</v>
      </c>
      <c r="L42" s="421">
        <v>83</v>
      </c>
    </row>
    <row r="43" spans="3:12" x14ac:dyDescent="0.2">
      <c r="C43" s="420" t="s">
        <v>25</v>
      </c>
      <c r="D43" s="348">
        <v>75</v>
      </c>
      <c r="E43" s="348">
        <v>90</v>
      </c>
      <c r="F43" s="348">
        <v>103</v>
      </c>
      <c r="G43" s="348">
        <v>80</v>
      </c>
      <c r="H43" s="348">
        <v>52</v>
      </c>
      <c r="I43" s="429">
        <v>79</v>
      </c>
      <c r="J43" s="348">
        <v>69</v>
      </c>
      <c r="K43" s="348">
        <v>80</v>
      </c>
      <c r="L43" s="421">
        <v>81</v>
      </c>
    </row>
    <row r="44" spans="3:12" x14ac:dyDescent="0.2">
      <c r="C44" s="412" t="s">
        <v>225</v>
      </c>
      <c r="D44" s="348">
        <v>4</v>
      </c>
      <c r="E44" s="348">
        <v>3</v>
      </c>
      <c r="F44" s="430">
        <v>0</v>
      </c>
      <c r="G44" s="430">
        <v>0</v>
      </c>
      <c r="H44" s="348">
        <v>4</v>
      </c>
      <c r="I44" s="348"/>
      <c r="J44" s="348">
        <v>3</v>
      </c>
      <c r="K44" s="348">
        <v>4</v>
      </c>
      <c r="L44" s="421">
        <v>4</v>
      </c>
    </row>
    <row r="45" spans="3:12" x14ac:dyDescent="0.2">
      <c r="C45" s="412"/>
      <c r="D45" s="348"/>
      <c r="E45" s="348"/>
      <c r="F45" s="348"/>
      <c r="G45" s="348"/>
      <c r="H45" s="348"/>
      <c r="I45" s="348"/>
      <c r="J45" s="348"/>
      <c r="K45" s="348"/>
      <c r="L45" s="421"/>
    </row>
    <row r="46" spans="3:12" ht="15" x14ac:dyDescent="0.25">
      <c r="C46" s="411" t="s">
        <v>157</v>
      </c>
      <c r="D46" s="423">
        <f t="shared" ref="D46:L46" si="5">IF(SUM(D47:D49)&lt;&gt;SUM(D50:D51),"ERROR",SUM(D47:D49))</f>
        <v>19</v>
      </c>
      <c r="E46" s="423">
        <f t="shared" si="5"/>
        <v>17</v>
      </c>
      <c r="F46" s="423">
        <f t="shared" si="5"/>
        <v>9</v>
      </c>
      <c r="G46" s="423">
        <f t="shared" si="5"/>
        <v>9</v>
      </c>
      <c r="H46" s="423">
        <f t="shared" si="5"/>
        <v>5</v>
      </c>
      <c r="I46" s="423">
        <f t="shared" si="5"/>
        <v>12</v>
      </c>
      <c r="J46" s="423">
        <f t="shared" si="5"/>
        <v>10</v>
      </c>
      <c r="K46" s="423">
        <f t="shared" si="5"/>
        <v>11</v>
      </c>
      <c r="L46" s="424">
        <f t="shared" si="5"/>
        <v>5</v>
      </c>
    </row>
    <row r="47" spans="3:12" x14ac:dyDescent="0.2">
      <c r="C47" s="417" t="s">
        <v>183</v>
      </c>
      <c r="D47" s="348"/>
      <c r="E47" s="348"/>
      <c r="F47" s="348"/>
      <c r="G47" s="348"/>
      <c r="H47" s="348"/>
      <c r="I47" s="348"/>
      <c r="J47" s="348"/>
      <c r="K47" s="348"/>
      <c r="L47" s="421"/>
    </row>
    <row r="48" spans="3:12" x14ac:dyDescent="0.2">
      <c r="C48" s="417" t="s">
        <v>184</v>
      </c>
      <c r="D48" s="348"/>
      <c r="E48" s="348"/>
      <c r="F48" s="348"/>
      <c r="G48" s="348"/>
      <c r="H48" s="348"/>
      <c r="I48" s="348"/>
      <c r="J48" s="348"/>
      <c r="K48" s="348"/>
      <c r="L48" s="421"/>
    </row>
    <row r="49" spans="3:12" x14ac:dyDescent="0.2">
      <c r="C49" s="417" t="s">
        <v>185</v>
      </c>
      <c r="D49" s="348">
        <v>19</v>
      </c>
      <c r="E49" s="348">
        <v>17</v>
      </c>
      <c r="F49" s="348">
        <v>9</v>
      </c>
      <c r="G49" s="348">
        <v>9</v>
      </c>
      <c r="H49" s="348">
        <v>5</v>
      </c>
      <c r="I49" s="348">
        <v>12</v>
      </c>
      <c r="J49" s="348">
        <v>10</v>
      </c>
      <c r="K49" s="348">
        <v>11</v>
      </c>
      <c r="L49" s="421">
        <v>5</v>
      </c>
    </row>
    <row r="50" spans="3:12" x14ac:dyDescent="0.2">
      <c r="C50" s="420" t="s">
        <v>26</v>
      </c>
      <c r="D50" s="348">
        <v>11</v>
      </c>
      <c r="E50" s="348">
        <v>10</v>
      </c>
      <c r="F50" s="348">
        <v>4</v>
      </c>
      <c r="G50" s="348">
        <v>5</v>
      </c>
      <c r="H50" s="348">
        <v>3</v>
      </c>
      <c r="I50" s="348">
        <v>5</v>
      </c>
      <c r="J50" s="348">
        <v>8</v>
      </c>
      <c r="K50" s="348">
        <v>5</v>
      </c>
      <c r="L50" s="421">
        <v>1</v>
      </c>
    </row>
    <row r="51" spans="3:12" x14ac:dyDescent="0.2">
      <c r="C51" s="420" t="s">
        <v>25</v>
      </c>
      <c r="D51" s="348">
        <v>8</v>
      </c>
      <c r="E51" s="348">
        <v>7</v>
      </c>
      <c r="F51" s="348">
        <v>5</v>
      </c>
      <c r="G51" s="348">
        <v>4</v>
      </c>
      <c r="H51" s="348">
        <v>2</v>
      </c>
      <c r="I51" s="348">
        <v>7</v>
      </c>
      <c r="J51" s="348">
        <v>2</v>
      </c>
      <c r="K51" s="348">
        <v>6</v>
      </c>
      <c r="L51" s="421">
        <v>4</v>
      </c>
    </row>
    <row r="52" spans="3:12" x14ac:dyDescent="0.2">
      <c r="C52" s="412" t="s">
        <v>225</v>
      </c>
      <c r="D52" s="348"/>
      <c r="E52" s="348"/>
      <c r="F52" s="348"/>
      <c r="G52" s="348"/>
      <c r="H52" s="348">
        <v>1</v>
      </c>
      <c r="I52" s="348">
        <v>1</v>
      </c>
      <c r="J52" s="348">
        <v>1</v>
      </c>
      <c r="K52" s="348">
        <v>1</v>
      </c>
      <c r="L52" s="421">
        <v>1</v>
      </c>
    </row>
    <row r="53" spans="3:12" x14ac:dyDescent="0.2">
      <c r="C53" s="412"/>
      <c r="D53" s="348"/>
      <c r="E53" s="348"/>
      <c r="F53" s="348"/>
      <c r="G53" s="348"/>
      <c r="H53" s="348"/>
      <c r="I53" s="348"/>
      <c r="J53" s="348"/>
      <c r="K53" s="348"/>
      <c r="L53" s="421"/>
    </row>
    <row r="54" spans="3:12" ht="15" x14ac:dyDescent="0.25">
      <c r="C54" s="411" t="s">
        <v>158</v>
      </c>
      <c r="D54" s="423">
        <f t="shared" ref="D54:L54" si="6">IF(SUM(D55:D57)&lt;&gt;SUM(D58:D59),"ERROR",SUM(D55:D57))</f>
        <v>34</v>
      </c>
      <c r="E54" s="423">
        <f t="shared" si="6"/>
        <v>9</v>
      </c>
      <c r="F54" s="423">
        <f t="shared" si="6"/>
        <v>15</v>
      </c>
      <c r="G54" s="423">
        <f t="shared" si="6"/>
        <v>14</v>
      </c>
      <c r="H54" s="423">
        <f t="shared" si="6"/>
        <v>12</v>
      </c>
      <c r="I54" s="423">
        <f t="shared" si="6"/>
        <v>7</v>
      </c>
      <c r="J54" s="423">
        <f t="shared" si="6"/>
        <v>8</v>
      </c>
      <c r="K54" s="423">
        <f t="shared" si="6"/>
        <v>8</v>
      </c>
      <c r="L54" s="424">
        <f t="shared" si="6"/>
        <v>12</v>
      </c>
    </row>
    <row r="55" spans="3:12" x14ac:dyDescent="0.2">
      <c r="C55" s="417" t="s">
        <v>183</v>
      </c>
      <c r="D55" s="348">
        <v>13</v>
      </c>
      <c r="E55" s="348"/>
      <c r="F55" s="348"/>
      <c r="G55" s="348"/>
      <c r="H55" s="348"/>
      <c r="I55" s="348"/>
      <c r="J55" s="348"/>
      <c r="K55" s="348"/>
      <c r="L55" s="421"/>
    </row>
    <row r="56" spans="3:12" x14ac:dyDescent="0.2">
      <c r="C56" s="417" t="s">
        <v>184</v>
      </c>
      <c r="D56" s="348"/>
      <c r="E56" s="348"/>
      <c r="F56" s="348"/>
      <c r="G56" s="348"/>
      <c r="H56" s="348"/>
      <c r="I56" s="348"/>
      <c r="J56" s="348"/>
      <c r="K56" s="348"/>
      <c r="L56" s="421"/>
    </row>
    <row r="57" spans="3:12" x14ac:dyDescent="0.2">
      <c r="C57" s="417" t="s">
        <v>185</v>
      </c>
      <c r="D57" s="348">
        <v>21</v>
      </c>
      <c r="E57" s="348">
        <v>9</v>
      </c>
      <c r="F57" s="348">
        <v>15</v>
      </c>
      <c r="G57" s="348">
        <v>14</v>
      </c>
      <c r="H57" s="348">
        <v>12</v>
      </c>
      <c r="I57" s="348">
        <v>7</v>
      </c>
      <c r="J57" s="348">
        <v>8</v>
      </c>
      <c r="K57" s="348">
        <v>8</v>
      </c>
      <c r="L57" s="421">
        <v>12</v>
      </c>
    </row>
    <row r="58" spans="3:12" x14ac:dyDescent="0.2">
      <c r="C58" s="420" t="s">
        <v>26</v>
      </c>
      <c r="D58" s="348">
        <v>14</v>
      </c>
      <c r="E58" s="348">
        <v>4</v>
      </c>
      <c r="F58" s="348">
        <v>9</v>
      </c>
      <c r="G58" s="348">
        <v>7</v>
      </c>
      <c r="H58" s="348">
        <v>6</v>
      </c>
      <c r="I58" s="348">
        <v>2</v>
      </c>
      <c r="J58" s="348">
        <v>6</v>
      </c>
      <c r="K58" s="348">
        <v>4</v>
      </c>
      <c r="L58" s="421">
        <v>4</v>
      </c>
    </row>
    <row r="59" spans="3:12" x14ac:dyDescent="0.2">
      <c r="C59" s="420" t="s">
        <v>25</v>
      </c>
      <c r="D59" s="348">
        <v>20</v>
      </c>
      <c r="E59" s="348">
        <v>5</v>
      </c>
      <c r="F59" s="348">
        <v>6</v>
      </c>
      <c r="G59" s="348">
        <v>7</v>
      </c>
      <c r="H59" s="348">
        <v>6</v>
      </c>
      <c r="I59" s="348">
        <v>5</v>
      </c>
      <c r="J59" s="348">
        <v>2</v>
      </c>
      <c r="K59" s="348">
        <v>4</v>
      </c>
      <c r="L59" s="421">
        <v>8</v>
      </c>
    </row>
    <row r="60" spans="3:12" x14ac:dyDescent="0.2">
      <c r="C60" s="412" t="s">
        <v>225</v>
      </c>
      <c r="D60" s="348">
        <v>2</v>
      </c>
      <c r="E60" s="348">
        <v>1</v>
      </c>
      <c r="F60" s="431">
        <v>0</v>
      </c>
      <c r="G60" s="431">
        <v>0</v>
      </c>
      <c r="H60" s="348">
        <v>1</v>
      </c>
      <c r="I60" s="348">
        <v>1</v>
      </c>
      <c r="J60" s="348">
        <v>1</v>
      </c>
      <c r="K60" s="348">
        <v>1</v>
      </c>
      <c r="L60" s="421">
        <v>1</v>
      </c>
    </row>
    <row r="61" spans="3:12" x14ac:dyDescent="0.2">
      <c r="C61" s="412"/>
      <c r="D61" s="348"/>
      <c r="E61" s="348"/>
      <c r="F61" s="348"/>
      <c r="G61" s="430"/>
      <c r="H61" s="348"/>
      <c r="I61" s="348"/>
      <c r="J61" s="348"/>
      <c r="K61" s="348"/>
      <c r="L61" s="421"/>
    </row>
    <row r="62" spans="3:12" ht="15" x14ac:dyDescent="0.25">
      <c r="C62" s="411" t="s">
        <v>200</v>
      </c>
      <c r="D62" s="423">
        <f t="shared" ref="D62:L62" si="7">IF(SUM(D63:D65)&lt;&gt;SUM(D66:D67),"ERROR",SUM(D63:D65))</f>
        <v>69</v>
      </c>
      <c r="E62" s="423">
        <f t="shared" si="7"/>
        <v>69</v>
      </c>
      <c r="F62" s="423">
        <f t="shared" si="7"/>
        <v>63</v>
      </c>
      <c r="G62" s="423">
        <f t="shared" si="7"/>
        <v>64</v>
      </c>
      <c r="H62" s="423">
        <f t="shared" si="7"/>
        <v>59</v>
      </c>
      <c r="I62" s="423">
        <f t="shared" si="7"/>
        <v>53</v>
      </c>
      <c r="J62" s="423">
        <f t="shared" si="7"/>
        <v>63</v>
      </c>
      <c r="K62" s="423">
        <f t="shared" si="7"/>
        <v>75</v>
      </c>
      <c r="L62" s="424">
        <f t="shared" si="7"/>
        <v>80</v>
      </c>
    </row>
    <row r="63" spans="3:12" x14ac:dyDescent="0.2">
      <c r="C63" s="417" t="s">
        <v>183</v>
      </c>
      <c r="D63" s="348">
        <v>43</v>
      </c>
      <c r="E63" s="348">
        <v>48</v>
      </c>
      <c r="F63" s="348">
        <v>45</v>
      </c>
      <c r="G63" s="348">
        <v>52</v>
      </c>
      <c r="H63" s="348">
        <v>37</v>
      </c>
      <c r="I63" s="348">
        <v>38</v>
      </c>
      <c r="J63" s="348">
        <v>35</v>
      </c>
      <c r="K63" s="348">
        <v>34</v>
      </c>
      <c r="L63" s="421">
        <v>33</v>
      </c>
    </row>
    <row r="64" spans="3:12" x14ac:dyDescent="0.2">
      <c r="C64" s="417" t="s">
        <v>184</v>
      </c>
      <c r="D64" s="430">
        <v>0</v>
      </c>
      <c r="E64" s="348"/>
      <c r="F64" s="348"/>
      <c r="G64" s="348"/>
      <c r="H64" s="348"/>
      <c r="I64" s="348"/>
      <c r="J64" s="348"/>
      <c r="K64" s="348"/>
      <c r="L64" s="421"/>
    </row>
    <row r="65" spans="2:12" x14ac:dyDescent="0.2">
      <c r="C65" s="417" t="s">
        <v>185</v>
      </c>
      <c r="D65" s="348">
        <v>26</v>
      </c>
      <c r="E65" s="348">
        <v>21</v>
      </c>
      <c r="F65" s="348">
        <v>18</v>
      </c>
      <c r="G65" s="348">
        <v>12</v>
      </c>
      <c r="H65" s="348">
        <v>22</v>
      </c>
      <c r="I65" s="348">
        <v>15</v>
      </c>
      <c r="J65" s="348">
        <v>28</v>
      </c>
      <c r="K65" s="348">
        <v>41</v>
      </c>
      <c r="L65" s="421">
        <v>47</v>
      </c>
    </row>
    <row r="66" spans="2:12" x14ac:dyDescent="0.2">
      <c r="C66" s="420" t="s">
        <v>26</v>
      </c>
      <c r="D66" s="348">
        <v>23</v>
      </c>
      <c r="E66" s="348">
        <v>25</v>
      </c>
      <c r="F66" s="348">
        <v>30</v>
      </c>
      <c r="G66" s="348">
        <v>29</v>
      </c>
      <c r="H66" s="348">
        <v>24</v>
      </c>
      <c r="I66" s="428">
        <v>24</v>
      </c>
      <c r="J66" s="348">
        <v>34</v>
      </c>
      <c r="K66" s="348">
        <v>37</v>
      </c>
      <c r="L66" s="421">
        <v>36</v>
      </c>
    </row>
    <row r="67" spans="2:12" x14ac:dyDescent="0.2">
      <c r="C67" s="420" t="s">
        <v>25</v>
      </c>
      <c r="D67" s="348">
        <v>46</v>
      </c>
      <c r="E67" s="348">
        <v>44</v>
      </c>
      <c r="F67" s="348">
        <v>33</v>
      </c>
      <c r="G67" s="348">
        <v>35</v>
      </c>
      <c r="H67" s="348">
        <v>35</v>
      </c>
      <c r="I67" s="429">
        <v>29</v>
      </c>
      <c r="J67" s="348">
        <v>29</v>
      </c>
      <c r="K67" s="348">
        <v>38</v>
      </c>
      <c r="L67" s="421">
        <v>44</v>
      </c>
    </row>
    <row r="68" spans="2:12" x14ac:dyDescent="0.2">
      <c r="C68" s="432" t="s">
        <v>225</v>
      </c>
      <c r="D68" s="433">
        <v>4</v>
      </c>
      <c r="E68" s="433">
        <v>4</v>
      </c>
      <c r="F68" s="433"/>
      <c r="G68" s="433"/>
      <c r="H68" s="433">
        <v>4</v>
      </c>
      <c r="I68" s="433">
        <v>4</v>
      </c>
      <c r="J68" s="433">
        <v>4</v>
      </c>
      <c r="K68" s="433">
        <v>4</v>
      </c>
      <c r="L68" s="434">
        <v>3</v>
      </c>
    </row>
    <row r="69" spans="2:12" x14ac:dyDescent="0.2">
      <c r="C69" s="402"/>
    </row>
    <row r="70" spans="2:12" x14ac:dyDescent="0.2">
      <c r="B70" s="382" t="s">
        <v>279</v>
      </c>
      <c r="C70" s="283"/>
    </row>
    <row r="71" spans="2:12" ht="17.25" customHeight="1" x14ac:dyDescent="0.2">
      <c r="B71" s="283"/>
      <c r="C71" s="436"/>
    </row>
    <row r="72" spans="2:12" ht="10.5" customHeight="1" x14ac:dyDescent="0.2">
      <c r="B72" s="610"/>
      <c r="C72" s="610"/>
    </row>
    <row r="73" spans="2:12" s="280" customFormat="1" ht="9" customHeight="1" x14ac:dyDescent="0.2"/>
    <row r="74" spans="2:12" x14ac:dyDescent="0.2">
      <c r="B74" s="611"/>
      <c r="C74" s="611"/>
    </row>
  </sheetData>
  <mergeCells count="4">
    <mergeCell ref="B72:C72"/>
    <mergeCell ref="B74:C74"/>
    <mergeCell ref="H2:K2"/>
    <mergeCell ref="C7:L7"/>
  </mergeCells>
  <pageMargins left="0.7" right="0.7" top="0.75" bottom="0.75" header="0.3" footer="0.3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9700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19050</xdr:rowOff>
              </from>
              <to>
                <xdr:col>1</xdr:col>
                <xdr:colOff>438150</xdr:colOff>
                <xdr:row>2</xdr:row>
                <xdr:rowOff>123825</xdr:rowOff>
              </to>
            </anchor>
          </objectPr>
        </oleObject>
      </mc:Choice>
      <mc:Fallback>
        <oleObject progId="MSPhotoEd.3" shapeId="29700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X47"/>
  <sheetViews>
    <sheetView view="pageBreakPreview" zoomScale="60" zoomScaleNormal="100" workbookViewId="0">
      <selection activeCell="B7" sqref="B7:J47"/>
    </sheetView>
  </sheetViews>
  <sheetFormatPr defaultRowHeight="12.75" x14ac:dyDescent="0.2"/>
  <cols>
    <col min="3" max="3" width="30" customWidth="1"/>
    <col min="4" max="5" width="14" customWidth="1"/>
    <col min="6" max="6" width="13" customWidth="1"/>
    <col min="7" max="7" width="15.28515625" customWidth="1"/>
    <col min="8" max="8" width="10.42578125" customWidth="1"/>
    <col min="9" max="9" width="13" customWidth="1"/>
    <col min="10" max="10" width="14.7109375" customWidth="1"/>
  </cols>
  <sheetData>
    <row r="2" spans="2:24" ht="15" x14ac:dyDescent="0.25">
      <c r="I2" s="4"/>
      <c r="J2" s="72" t="s">
        <v>207</v>
      </c>
      <c r="N2" s="100" t="s">
        <v>207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2:24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7" spans="2:24" ht="23.25" x14ac:dyDescent="0.35">
      <c r="B7" s="286" t="s">
        <v>286</v>
      </c>
      <c r="C7" s="641" t="s">
        <v>277</v>
      </c>
      <c r="D7" s="641"/>
      <c r="E7" s="641"/>
      <c r="F7" s="641"/>
      <c r="G7" s="641"/>
      <c r="H7" s="641"/>
      <c r="I7" s="641"/>
      <c r="J7" s="641"/>
    </row>
    <row r="8" spans="2:24" ht="15" x14ac:dyDescent="0.25">
      <c r="B8" s="160"/>
      <c r="C8" s="322"/>
      <c r="D8" s="308"/>
      <c r="E8" s="308"/>
      <c r="F8" s="308"/>
      <c r="G8" s="308"/>
      <c r="H8" s="308"/>
      <c r="I8" s="308"/>
      <c r="J8" s="308"/>
      <c r="K8" s="19"/>
    </row>
    <row r="9" spans="2:24" ht="15" x14ac:dyDescent="0.25">
      <c r="B9" s="160"/>
      <c r="C9" s="323" t="s">
        <v>261</v>
      </c>
      <c r="D9" s="309" t="s">
        <v>0</v>
      </c>
      <c r="E9" s="309" t="s">
        <v>0</v>
      </c>
      <c r="F9" s="309"/>
      <c r="G9" s="309"/>
      <c r="H9" s="309"/>
      <c r="I9" s="309"/>
      <c r="J9" s="160"/>
      <c r="K9" s="19"/>
    </row>
    <row r="10" spans="2:24" ht="15" x14ac:dyDescent="0.25">
      <c r="B10" s="160"/>
      <c r="C10" s="317" t="s">
        <v>262</v>
      </c>
      <c r="D10" s="309" t="s">
        <v>154</v>
      </c>
      <c r="E10" s="309" t="s">
        <v>155</v>
      </c>
      <c r="F10" s="309" t="s">
        <v>156</v>
      </c>
      <c r="G10" s="309" t="s">
        <v>157</v>
      </c>
      <c r="H10" s="309" t="s">
        <v>158</v>
      </c>
      <c r="I10" s="309" t="s">
        <v>18</v>
      </c>
      <c r="J10" s="317" t="s">
        <v>263</v>
      </c>
      <c r="K10" s="19"/>
    </row>
    <row r="11" spans="2:24" ht="15" x14ac:dyDescent="0.25">
      <c r="B11" s="160"/>
      <c r="C11" s="160" t="s">
        <v>264</v>
      </c>
      <c r="D11" s="311">
        <f>5342+546</f>
        <v>5888</v>
      </c>
      <c r="E11" s="311">
        <f>1098+14</f>
        <v>1112</v>
      </c>
      <c r="F11" s="311">
        <f>222+425</f>
        <v>647</v>
      </c>
      <c r="G11" s="311">
        <f>117+81</f>
        <v>198</v>
      </c>
      <c r="H11" s="311">
        <f>98+249</f>
        <v>347</v>
      </c>
      <c r="I11" s="311">
        <f>465</f>
        <v>465</v>
      </c>
      <c r="J11" s="318">
        <f>SUM(D11:I11)</f>
        <v>8657</v>
      </c>
      <c r="K11" s="19"/>
    </row>
    <row r="12" spans="2:24" ht="15" x14ac:dyDescent="0.25">
      <c r="B12" s="160"/>
      <c r="C12" s="160" t="s">
        <v>265</v>
      </c>
      <c r="D12" s="311">
        <f>5044+4652</f>
        <v>9696</v>
      </c>
      <c r="E12" s="311">
        <f>671+62</f>
        <v>733</v>
      </c>
      <c r="F12" s="311">
        <f>170+303</f>
        <v>473</v>
      </c>
      <c r="G12" s="311">
        <f>160+109</f>
        <v>269</v>
      </c>
      <c r="H12" s="311">
        <f>96+183</f>
        <v>279</v>
      </c>
      <c r="I12" s="311">
        <f>295+258</f>
        <v>553</v>
      </c>
      <c r="J12" s="318">
        <f t="shared" ref="J12:J18" si="0">SUM(D12:I12)</f>
        <v>12003</v>
      </c>
      <c r="K12" s="19"/>
    </row>
    <row r="13" spans="2:24" ht="15" x14ac:dyDescent="0.25">
      <c r="B13" s="160"/>
      <c r="C13" s="160" t="s">
        <v>266</v>
      </c>
      <c r="D13" s="311">
        <f>5459+6067</f>
        <v>11526</v>
      </c>
      <c r="E13" s="311">
        <f>623+702</f>
        <v>1325</v>
      </c>
      <c r="F13" s="311">
        <f>152+269</f>
        <v>421</v>
      </c>
      <c r="G13" s="311">
        <f>171+103</f>
        <v>274</v>
      </c>
      <c r="H13" s="311">
        <f>64+131</f>
        <v>195</v>
      </c>
      <c r="I13" s="311">
        <f>172+118</f>
        <v>290</v>
      </c>
      <c r="J13" s="318">
        <f t="shared" si="0"/>
        <v>14031</v>
      </c>
      <c r="K13" s="19"/>
    </row>
    <row r="14" spans="2:24" ht="15" x14ac:dyDescent="0.25">
      <c r="B14" s="160"/>
      <c r="C14" s="160" t="s">
        <v>267</v>
      </c>
      <c r="D14" s="311">
        <f>6118+5916</f>
        <v>12034</v>
      </c>
      <c r="E14" s="311">
        <f>498+450</f>
        <v>948</v>
      </c>
      <c r="F14" s="311">
        <v>0</v>
      </c>
      <c r="G14" s="311">
        <v>0</v>
      </c>
      <c r="H14" s="311">
        <v>0</v>
      </c>
      <c r="I14" s="311">
        <f>64+102</f>
        <v>166</v>
      </c>
      <c r="J14" s="318">
        <f t="shared" si="0"/>
        <v>13148</v>
      </c>
      <c r="K14" s="19"/>
    </row>
    <row r="15" spans="2:24" ht="15" x14ac:dyDescent="0.25">
      <c r="B15" s="160"/>
      <c r="C15" s="160" t="s">
        <v>268</v>
      </c>
      <c r="D15" s="311">
        <f>4550+5497</f>
        <v>10047</v>
      </c>
      <c r="E15" s="311">
        <f>573+808</f>
        <v>1381</v>
      </c>
      <c r="F15" s="311">
        <f>198+389</f>
        <v>587</v>
      </c>
      <c r="G15" s="311">
        <f>395+201</f>
        <v>596</v>
      </c>
      <c r="H15" s="311">
        <f>125+252</f>
        <v>377</v>
      </c>
      <c r="I15" s="311">
        <f>175+184</f>
        <v>359</v>
      </c>
      <c r="J15" s="318">
        <f t="shared" si="0"/>
        <v>13347</v>
      </c>
      <c r="K15" s="19"/>
    </row>
    <row r="16" spans="2:24" ht="15" x14ac:dyDescent="0.25">
      <c r="B16" s="160"/>
      <c r="C16" s="160" t="s">
        <v>269</v>
      </c>
      <c r="D16" s="311">
        <f>1192+6081</f>
        <v>7273</v>
      </c>
      <c r="E16" s="311">
        <f>5241+3856</f>
        <v>9097</v>
      </c>
      <c r="F16" s="311">
        <f>257+411</f>
        <v>668</v>
      </c>
      <c r="G16" s="311">
        <f>81+52</f>
        <v>133</v>
      </c>
      <c r="H16" s="311">
        <f>155+182</f>
        <v>337</v>
      </c>
      <c r="I16" s="311">
        <f>258+210</f>
        <v>468</v>
      </c>
      <c r="J16" s="318">
        <f t="shared" si="0"/>
        <v>17976</v>
      </c>
      <c r="K16" s="19"/>
    </row>
    <row r="17" spans="2:11" ht="15" x14ac:dyDescent="0.25">
      <c r="B17" s="160"/>
      <c r="C17" s="160" t="s">
        <v>270</v>
      </c>
      <c r="D17" s="311">
        <f>5460+4598</f>
        <v>10058</v>
      </c>
      <c r="E17" s="311">
        <f>2027+1597</f>
        <v>3624</v>
      </c>
      <c r="F17" s="311">
        <f>239+351</f>
        <v>590</v>
      </c>
      <c r="G17" s="311">
        <f>33+25</f>
        <v>58</v>
      </c>
      <c r="H17" s="311">
        <f>100+141</f>
        <v>241</v>
      </c>
      <c r="I17" s="311">
        <f>156+103</f>
        <v>259</v>
      </c>
      <c r="J17" s="318">
        <f t="shared" si="0"/>
        <v>14830</v>
      </c>
      <c r="K17" s="19"/>
    </row>
    <row r="18" spans="2:11" ht="15" x14ac:dyDescent="0.25">
      <c r="B18" s="160"/>
      <c r="C18" s="160" t="s">
        <v>271</v>
      </c>
      <c r="D18" s="311">
        <f>3095+3987</f>
        <v>7082</v>
      </c>
      <c r="E18" s="311">
        <f>5+956</f>
        <v>961</v>
      </c>
      <c r="F18" s="311">
        <f>190+33</f>
        <v>223</v>
      </c>
      <c r="G18" s="311">
        <f>5+8</f>
        <v>13</v>
      </c>
      <c r="H18" s="311">
        <f>112+6</f>
        <v>118</v>
      </c>
      <c r="I18" s="311">
        <f>54+34</f>
        <v>88</v>
      </c>
      <c r="J18" s="318">
        <f t="shared" si="0"/>
        <v>8485</v>
      </c>
      <c r="K18" s="19"/>
    </row>
    <row r="19" spans="2:11" ht="15" x14ac:dyDescent="0.25">
      <c r="B19" s="160"/>
      <c r="C19" s="160"/>
      <c r="D19" s="311"/>
      <c r="E19" s="311"/>
      <c r="F19" s="311"/>
      <c r="G19" s="311"/>
      <c r="H19" s="311"/>
      <c r="I19" s="311"/>
      <c r="J19" s="317"/>
      <c r="K19" s="19"/>
    </row>
    <row r="20" spans="2:11" ht="15" x14ac:dyDescent="0.25">
      <c r="B20" s="160"/>
      <c r="C20" s="317" t="s">
        <v>272</v>
      </c>
      <c r="D20" s="311"/>
      <c r="E20" s="311"/>
      <c r="F20" s="311"/>
      <c r="G20" s="311"/>
      <c r="H20" s="311"/>
      <c r="I20" s="311"/>
      <c r="J20" s="317"/>
      <c r="K20" s="19"/>
    </row>
    <row r="21" spans="2:11" ht="15" x14ac:dyDescent="0.25">
      <c r="B21" s="160"/>
      <c r="C21" s="160" t="s">
        <v>264</v>
      </c>
      <c r="D21" s="311">
        <f>1066+370</f>
        <v>1436</v>
      </c>
      <c r="E21" s="311">
        <f>255+238</f>
        <v>493</v>
      </c>
      <c r="F21" s="311">
        <f>81+81</f>
        <v>162</v>
      </c>
      <c r="G21" s="311">
        <v>3</v>
      </c>
      <c r="H21" s="311">
        <f>22+45</f>
        <v>67</v>
      </c>
      <c r="I21" s="311">
        <f>136+97</f>
        <v>233</v>
      </c>
      <c r="J21" s="318">
        <f>SUM(D21:I21)</f>
        <v>2394</v>
      </c>
      <c r="K21" s="19"/>
    </row>
    <row r="22" spans="2:11" ht="15" x14ac:dyDescent="0.25">
      <c r="B22" s="160"/>
      <c r="C22" s="160" t="s">
        <v>265</v>
      </c>
      <c r="D22" s="311">
        <f>1067+361</f>
        <v>1428</v>
      </c>
      <c r="E22" s="311">
        <f>246+180</f>
        <v>426</v>
      </c>
      <c r="F22" s="311">
        <f>103+58</f>
        <v>161</v>
      </c>
      <c r="G22" s="311">
        <f>20+14</f>
        <v>34</v>
      </c>
      <c r="H22" s="311">
        <f>23+26</f>
        <v>49</v>
      </c>
      <c r="I22" s="311">
        <f>110+73</f>
        <v>183</v>
      </c>
      <c r="J22" s="318">
        <f>SUM(D22:I22)</f>
        <v>2281</v>
      </c>
      <c r="K22" s="19"/>
    </row>
    <row r="23" spans="2:11" ht="15" x14ac:dyDescent="0.25">
      <c r="B23" s="160"/>
      <c r="C23" s="160" t="s">
        <v>266</v>
      </c>
      <c r="D23" s="311">
        <f>1015+300</f>
        <v>1315</v>
      </c>
      <c r="E23" s="311">
        <f>147+165</f>
        <v>312</v>
      </c>
      <c r="F23" s="311">
        <f>87+48</f>
        <v>135</v>
      </c>
      <c r="G23" s="311">
        <f>17+10</f>
        <v>27</v>
      </c>
      <c r="H23" s="311">
        <f>18+23</f>
        <v>41</v>
      </c>
      <c r="I23" s="311">
        <f>52+34</f>
        <v>86</v>
      </c>
      <c r="J23" s="318">
        <f>SUM(D23:I23)</f>
        <v>1916</v>
      </c>
      <c r="K23" s="19"/>
    </row>
    <row r="24" spans="2:11" ht="15" x14ac:dyDescent="0.25">
      <c r="B24" s="160"/>
      <c r="C24" s="160" t="s">
        <v>267</v>
      </c>
      <c r="D24" s="311">
        <f>1066+314</f>
        <v>1380</v>
      </c>
      <c r="E24" s="311">
        <f>138+148</f>
        <v>286</v>
      </c>
      <c r="F24" s="311">
        <f>76+45</f>
        <v>121</v>
      </c>
      <c r="G24" s="311">
        <f>12+3</f>
        <v>15</v>
      </c>
      <c r="H24" s="311">
        <f>16+10</f>
        <v>26</v>
      </c>
      <c r="I24" s="311" t="s">
        <v>273</v>
      </c>
      <c r="J24" s="318">
        <f>SUM(D24:I24)</f>
        <v>1828</v>
      </c>
      <c r="K24" s="19"/>
    </row>
    <row r="25" spans="2:11" ht="15" x14ac:dyDescent="0.25">
      <c r="B25" s="160"/>
      <c r="C25" s="160"/>
      <c r="D25" s="311"/>
      <c r="E25" s="311"/>
      <c r="F25" s="311"/>
      <c r="G25" s="311"/>
      <c r="H25" s="311"/>
      <c r="I25" s="311"/>
      <c r="J25" s="317"/>
      <c r="K25" s="19"/>
    </row>
    <row r="26" spans="2:11" ht="15" x14ac:dyDescent="0.25">
      <c r="B26" s="160"/>
      <c r="C26" s="160"/>
      <c r="D26" s="311"/>
      <c r="E26" s="311"/>
      <c r="F26" s="311"/>
      <c r="G26" s="311"/>
      <c r="H26" s="311"/>
      <c r="I26" s="311"/>
      <c r="J26" s="317"/>
      <c r="K26" s="19"/>
    </row>
    <row r="27" spans="2:11" ht="15" x14ac:dyDescent="0.25">
      <c r="B27" s="160"/>
      <c r="C27" s="323" t="s">
        <v>274</v>
      </c>
      <c r="D27" s="311">
        <f t="shared" ref="D27:I27" si="1">SUM(D11:D25)</f>
        <v>79163</v>
      </c>
      <c r="E27" s="311">
        <f t="shared" si="1"/>
        <v>20698</v>
      </c>
      <c r="F27" s="311">
        <f t="shared" si="1"/>
        <v>4188</v>
      </c>
      <c r="G27" s="311">
        <f t="shared" si="1"/>
        <v>1620</v>
      </c>
      <c r="H27" s="311">
        <f t="shared" si="1"/>
        <v>2077</v>
      </c>
      <c r="I27" s="311">
        <f t="shared" si="1"/>
        <v>3150</v>
      </c>
      <c r="J27" s="318">
        <f>SUM(D27:I27)</f>
        <v>110896</v>
      </c>
      <c r="K27" s="19"/>
    </row>
    <row r="28" spans="2:11" ht="15" x14ac:dyDescent="0.25">
      <c r="B28" s="160"/>
      <c r="C28" s="323" t="s">
        <v>275</v>
      </c>
      <c r="D28" s="311">
        <f t="shared" ref="D28:J28" si="2">D27/50</f>
        <v>1583.26</v>
      </c>
      <c r="E28" s="311">
        <f t="shared" si="2"/>
        <v>413.96</v>
      </c>
      <c r="F28" s="311">
        <f t="shared" si="2"/>
        <v>83.76</v>
      </c>
      <c r="G28" s="311">
        <f t="shared" si="2"/>
        <v>32.4</v>
      </c>
      <c r="H28" s="311">
        <f t="shared" si="2"/>
        <v>41.54</v>
      </c>
      <c r="I28" s="311">
        <f t="shared" si="2"/>
        <v>63</v>
      </c>
      <c r="J28" s="318">
        <f t="shared" si="2"/>
        <v>2217.92</v>
      </c>
      <c r="K28" s="19"/>
    </row>
    <row r="29" spans="2:11" ht="15" x14ac:dyDescent="0.25">
      <c r="B29" s="160"/>
      <c r="C29" s="324" t="s">
        <v>276</v>
      </c>
      <c r="D29" s="313">
        <f>SUM(D27:I27)</f>
        <v>110896</v>
      </c>
      <c r="E29" s="314"/>
      <c r="F29" s="314"/>
      <c r="G29" s="314"/>
      <c r="H29" s="314"/>
      <c r="I29" s="314"/>
      <c r="J29" s="159"/>
      <c r="K29" s="19"/>
    </row>
    <row r="30" spans="2:11" x14ac:dyDescent="0.2">
      <c r="B30" s="158"/>
      <c r="C30" s="158"/>
      <c r="D30" s="158"/>
      <c r="E30" s="158"/>
      <c r="F30" s="158"/>
      <c r="G30" s="158"/>
      <c r="H30" s="158"/>
      <c r="I30" s="158"/>
      <c r="J30" s="158"/>
    </row>
    <row r="31" spans="2:11" x14ac:dyDescent="0.2">
      <c r="B31" s="158"/>
      <c r="C31" s="158"/>
      <c r="D31" s="158"/>
      <c r="E31" s="158"/>
      <c r="F31" s="158"/>
      <c r="G31" s="158"/>
      <c r="H31" s="158"/>
      <c r="I31" s="158"/>
      <c r="J31" s="158"/>
    </row>
    <row r="32" spans="2:11" x14ac:dyDescent="0.2">
      <c r="B32" s="158"/>
      <c r="C32" s="158"/>
      <c r="D32" s="158"/>
      <c r="E32" s="158"/>
      <c r="F32" s="158"/>
      <c r="G32" s="158"/>
      <c r="H32" s="158"/>
      <c r="I32" s="158"/>
      <c r="J32" s="158"/>
    </row>
    <row r="33" spans="2:10" x14ac:dyDescent="0.2">
      <c r="B33" s="158"/>
      <c r="C33" s="158"/>
      <c r="D33" s="158"/>
      <c r="E33" s="158"/>
      <c r="F33" s="158"/>
      <c r="G33" s="158"/>
      <c r="H33" s="158"/>
      <c r="I33" s="158"/>
      <c r="J33" s="158"/>
    </row>
    <row r="34" spans="2:10" x14ac:dyDescent="0.2">
      <c r="B34" s="160"/>
      <c r="C34" s="158"/>
      <c r="D34" s="158"/>
      <c r="E34" s="158"/>
      <c r="F34" s="158"/>
      <c r="G34" s="158"/>
      <c r="H34" s="158"/>
      <c r="I34" s="158"/>
      <c r="J34" s="158"/>
    </row>
    <row r="35" spans="2:10" ht="23.25" x14ac:dyDescent="0.35">
      <c r="B35" s="286" t="s">
        <v>287</v>
      </c>
      <c r="C35" s="646" t="s">
        <v>288</v>
      </c>
      <c r="D35" s="646"/>
      <c r="E35" s="646"/>
      <c r="F35" s="646"/>
      <c r="G35" s="646"/>
      <c r="H35" s="326"/>
      <c r="I35" s="326"/>
      <c r="J35" s="326"/>
    </row>
    <row r="36" spans="2:10" ht="15" x14ac:dyDescent="0.25">
      <c r="B36" s="160"/>
      <c r="C36" s="642" t="s">
        <v>249</v>
      </c>
      <c r="D36" s="642"/>
      <c r="E36" s="643"/>
      <c r="F36" s="644" t="s">
        <v>252</v>
      </c>
      <c r="G36" s="642"/>
      <c r="H36" s="160"/>
      <c r="I36" s="158"/>
      <c r="J36" s="158"/>
    </row>
    <row r="37" spans="2:10" ht="15" x14ac:dyDescent="0.25">
      <c r="B37" s="160"/>
      <c r="C37" s="315"/>
      <c r="D37" s="645">
        <v>2012</v>
      </c>
      <c r="E37" s="645"/>
      <c r="F37" s="307"/>
      <c r="G37" s="320"/>
      <c r="H37" s="160"/>
      <c r="I37" s="158"/>
      <c r="J37" s="158"/>
    </row>
    <row r="38" spans="2:10" ht="15" x14ac:dyDescent="0.25">
      <c r="B38" s="160"/>
      <c r="C38" s="317" t="s">
        <v>250</v>
      </c>
      <c r="D38" s="318" t="s">
        <v>93</v>
      </c>
      <c r="E38" s="318" t="s">
        <v>251</v>
      </c>
      <c r="F38" s="310" t="s">
        <v>253</v>
      </c>
      <c r="G38" s="311">
        <v>7101</v>
      </c>
      <c r="H38" s="160"/>
      <c r="I38" s="158"/>
      <c r="J38" s="158"/>
    </row>
    <row r="39" spans="2:10" x14ac:dyDescent="0.2">
      <c r="B39" s="160"/>
      <c r="C39" s="322" t="s">
        <v>154</v>
      </c>
      <c r="D39" s="320">
        <v>645</v>
      </c>
      <c r="E39" s="316">
        <v>5191</v>
      </c>
      <c r="F39" s="310" t="s">
        <v>254</v>
      </c>
      <c r="G39" s="311">
        <v>123</v>
      </c>
      <c r="H39" s="160"/>
      <c r="I39" s="158"/>
      <c r="J39" s="158"/>
    </row>
    <row r="40" spans="2:10" x14ac:dyDescent="0.2">
      <c r="B40" s="160"/>
      <c r="C40" s="160" t="s">
        <v>155</v>
      </c>
      <c r="D40" s="311">
        <v>412</v>
      </c>
      <c r="E40" s="319">
        <v>982</v>
      </c>
      <c r="F40" s="310" t="s">
        <v>255</v>
      </c>
      <c r="G40" s="311">
        <v>6880</v>
      </c>
      <c r="H40" s="160"/>
      <c r="I40" s="158"/>
      <c r="J40" s="158"/>
    </row>
    <row r="41" spans="2:10" x14ac:dyDescent="0.2">
      <c r="B41" s="160"/>
      <c r="C41" s="160" t="s">
        <v>156</v>
      </c>
      <c r="D41" s="311">
        <v>150</v>
      </c>
      <c r="E41" s="319">
        <v>276</v>
      </c>
      <c r="F41" s="310" t="s">
        <v>256</v>
      </c>
      <c r="G41" s="311">
        <v>53</v>
      </c>
      <c r="H41" s="160"/>
      <c r="I41" s="158"/>
      <c r="J41" s="158"/>
    </row>
    <row r="42" spans="2:10" x14ac:dyDescent="0.2">
      <c r="B42" s="160"/>
      <c r="C42" s="160" t="s">
        <v>157</v>
      </c>
      <c r="D42" s="311">
        <v>22</v>
      </c>
      <c r="E42" s="319">
        <v>95</v>
      </c>
      <c r="F42" s="310" t="s">
        <v>257</v>
      </c>
      <c r="G42" s="311">
        <v>16</v>
      </c>
      <c r="H42" s="160"/>
      <c r="I42" s="158"/>
      <c r="J42" s="158"/>
    </row>
    <row r="43" spans="2:10" x14ac:dyDescent="0.2">
      <c r="B43" s="160"/>
      <c r="C43" s="160" t="s">
        <v>158</v>
      </c>
      <c r="D43" s="311">
        <v>74</v>
      </c>
      <c r="E43" s="319">
        <v>117</v>
      </c>
      <c r="F43" s="310" t="s">
        <v>258</v>
      </c>
      <c r="G43" s="311">
        <v>40</v>
      </c>
      <c r="H43" s="160"/>
      <c r="I43" s="158"/>
      <c r="J43" s="158"/>
    </row>
    <row r="44" spans="2:10" x14ac:dyDescent="0.2">
      <c r="B44" s="160"/>
      <c r="C44" s="160" t="s">
        <v>18</v>
      </c>
      <c r="D44" s="311">
        <v>242</v>
      </c>
      <c r="E44" s="319">
        <v>186</v>
      </c>
      <c r="F44" s="310" t="s">
        <v>259</v>
      </c>
      <c r="G44" s="311">
        <v>35</v>
      </c>
      <c r="H44" s="160"/>
      <c r="I44" s="158"/>
      <c r="J44" s="158"/>
    </row>
    <row r="45" spans="2:10" ht="15" x14ac:dyDescent="0.25">
      <c r="B45" s="160"/>
      <c r="C45" s="324" t="s">
        <v>24</v>
      </c>
      <c r="D45" s="313">
        <f>SUM(D39:D44)</f>
        <v>1545</v>
      </c>
      <c r="E45" s="321">
        <f>SUM(E39:E44)</f>
        <v>6847</v>
      </c>
      <c r="F45" s="312" t="s">
        <v>260</v>
      </c>
      <c r="G45" s="313">
        <f>SUM(G38:G44)</f>
        <v>14248</v>
      </c>
      <c r="H45" s="160"/>
      <c r="I45" s="158"/>
      <c r="J45" s="158"/>
    </row>
    <row r="46" spans="2:10" x14ac:dyDescent="0.2">
      <c r="B46" s="158"/>
      <c r="C46" s="158"/>
      <c r="D46" s="158"/>
      <c r="E46" s="158"/>
      <c r="F46" s="158"/>
      <c r="G46" s="158"/>
      <c r="H46" s="158"/>
      <c r="I46" s="158"/>
      <c r="J46" s="158"/>
    </row>
    <row r="47" spans="2:10" x14ac:dyDescent="0.2">
      <c r="B47" s="161" t="s">
        <v>282</v>
      </c>
      <c r="C47" s="158"/>
      <c r="D47" s="158"/>
      <c r="E47" s="158"/>
      <c r="F47" s="158"/>
      <c r="G47" s="158"/>
      <c r="H47" s="158"/>
      <c r="I47" s="158"/>
      <c r="J47" s="158"/>
    </row>
  </sheetData>
  <mergeCells count="5">
    <mergeCell ref="C7:J7"/>
    <mergeCell ref="C36:E36"/>
    <mergeCell ref="F36:G36"/>
    <mergeCell ref="D37:E37"/>
    <mergeCell ref="C35:G35"/>
  </mergeCells>
  <pageMargins left="0.7" right="0.7" top="0.75" bottom="0.75" header="0.3" footer="0.3"/>
  <pageSetup paperSize="9" scale="50" orientation="portrait" r:id="rId1"/>
  <colBreaks count="1" manualBreakCount="1">
    <brk id="11" max="51" man="1"/>
  </colBreaks>
  <drawing r:id="rId2"/>
  <legacyDrawing r:id="rId3"/>
  <oleObjects>
    <mc:AlternateContent xmlns:mc="http://schemas.openxmlformats.org/markup-compatibility/2006">
      <mc:Choice Requires="x14">
        <oleObject progId="MSPhotoEd.3" shapeId="38914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28575</xdr:colOff>
                <xdr:row>0</xdr:row>
                <xdr:rowOff>161925</xdr:rowOff>
              </to>
            </anchor>
          </objectPr>
        </oleObject>
      </mc:Choice>
      <mc:Fallback>
        <oleObject progId="MSPhotoEd.3" shapeId="38914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C2:T66"/>
  <sheetViews>
    <sheetView zoomScaleNormal="100" workbookViewId="0">
      <selection activeCell="P4" sqref="P4"/>
    </sheetView>
  </sheetViews>
  <sheetFormatPr defaultColWidth="9.140625" defaultRowHeight="12.75" x14ac:dyDescent="0.2"/>
  <cols>
    <col min="1" max="2" width="9.140625" style="350"/>
    <col min="3" max="3" width="7.42578125" style="350" customWidth="1"/>
    <col min="4" max="4" width="19.42578125" style="350" customWidth="1"/>
    <col min="5" max="5" width="9.7109375" style="350" customWidth="1"/>
    <col min="6" max="6" width="11.140625" style="350" customWidth="1"/>
    <col min="7" max="7" width="12.5703125" style="350" customWidth="1"/>
    <col min="8" max="8" width="9.140625" style="350" customWidth="1"/>
    <col min="9" max="9" width="9.140625" style="350"/>
    <col min="10" max="10" width="11.85546875" style="350" customWidth="1"/>
    <col min="11" max="11" width="12.28515625" style="350" customWidth="1"/>
    <col min="12" max="13" width="9.140625" style="350"/>
    <col min="14" max="14" width="11.7109375" style="350" customWidth="1"/>
    <col min="15" max="15" width="13.140625" style="350" customWidth="1"/>
    <col min="16" max="17" width="9.140625" style="350"/>
    <col min="18" max="18" width="11.140625" style="350" customWidth="1"/>
    <col min="19" max="19" width="12.5703125" style="350" customWidth="1"/>
    <col min="20" max="16384" width="9.140625" style="350"/>
  </cols>
  <sheetData>
    <row r="2" spans="3:20" x14ac:dyDescent="0.2">
      <c r="C2" s="29"/>
      <c r="D2" s="29"/>
      <c r="E2" s="29"/>
      <c r="F2" s="29"/>
      <c r="G2" s="29"/>
      <c r="H2" s="29"/>
      <c r="I2" s="29"/>
      <c r="J2" s="29"/>
      <c r="K2" s="29"/>
      <c r="L2" s="29"/>
      <c r="N2" s="604" t="s">
        <v>340</v>
      </c>
      <c r="O2" s="604"/>
      <c r="P2" s="604"/>
      <c r="Q2" s="604"/>
    </row>
    <row r="4" spans="3:20" x14ac:dyDescent="0.2">
      <c r="C4" s="29"/>
      <c r="D4" s="29"/>
      <c r="E4" s="29"/>
      <c r="F4" s="29"/>
      <c r="G4" s="29"/>
      <c r="H4" s="29"/>
      <c r="I4" s="29"/>
      <c r="J4" s="29"/>
      <c r="K4" s="29"/>
      <c r="L4" s="29"/>
    </row>
    <row r="6" spans="3:20" x14ac:dyDescent="0.2">
      <c r="C6" s="29"/>
      <c r="D6" s="351"/>
      <c r="E6" s="29"/>
      <c r="F6" s="29"/>
      <c r="G6" s="29"/>
      <c r="H6" s="29"/>
      <c r="I6" s="29"/>
      <c r="J6" s="29"/>
      <c r="K6" s="29"/>
      <c r="L6" s="29"/>
    </row>
    <row r="7" spans="3:20" x14ac:dyDescent="0.2">
      <c r="C7" s="29"/>
      <c r="D7" s="351"/>
      <c r="E7" s="29"/>
      <c r="F7" s="29"/>
      <c r="G7" s="29"/>
      <c r="H7" s="29"/>
      <c r="I7" s="29"/>
      <c r="J7" s="29"/>
      <c r="K7" s="29"/>
      <c r="L7" s="29"/>
    </row>
    <row r="8" spans="3:20" ht="15.75" x14ac:dyDescent="0.25">
      <c r="C8" s="352" t="s">
        <v>285</v>
      </c>
      <c r="D8" s="647" t="s">
        <v>357</v>
      </c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647"/>
    </row>
    <row r="9" spans="3:20" x14ac:dyDescent="0.2">
      <c r="C9" s="29"/>
      <c r="D9" s="521"/>
      <c r="E9" s="29"/>
      <c r="F9" s="29"/>
      <c r="G9" s="29"/>
      <c r="H9" s="29"/>
      <c r="I9" s="29"/>
      <c r="J9" s="29"/>
      <c r="K9" s="29"/>
      <c r="L9" s="29"/>
    </row>
    <row r="10" spans="3:20" ht="17.25" customHeight="1" x14ac:dyDescent="0.2">
      <c r="C10" s="29"/>
      <c r="D10" s="522"/>
      <c r="E10" s="648">
        <v>2019</v>
      </c>
      <c r="F10" s="648"/>
      <c r="G10" s="648"/>
      <c r="H10" s="648"/>
      <c r="I10" s="648">
        <v>2020</v>
      </c>
      <c r="J10" s="648"/>
      <c r="K10" s="648"/>
      <c r="L10" s="648"/>
      <c r="M10" s="648">
        <v>2021</v>
      </c>
      <c r="N10" s="648"/>
      <c r="O10" s="648"/>
      <c r="P10" s="648"/>
      <c r="Q10" s="648">
        <v>2022</v>
      </c>
      <c r="R10" s="648"/>
      <c r="S10" s="648"/>
      <c r="T10" s="648"/>
    </row>
    <row r="11" spans="3:20" ht="18" customHeight="1" x14ac:dyDescent="0.2">
      <c r="C11" s="29"/>
      <c r="D11" s="523" t="s">
        <v>159</v>
      </c>
      <c r="E11" s="524" t="s">
        <v>160</v>
      </c>
      <c r="F11" s="524" t="s">
        <v>161</v>
      </c>
      <c r="G11" s="525" t="s">
        <v>248</v>
      </c>
      <c r="H11" s="525"/>
      <c r="I11" s="524" t="s">
        <v>160</v>
      </c>
      <c r="J11" s="524" t="s">
        <v>161</v>
      </c>
      <c r="K11" s="525" t="s">
        <v>248</v>
      </c>
      <c r="L11" s="525"/>
      <c r="M11" s="524" t="s">
        <v>160</v>
      </c>
      <c r="N11" s="524" t="s">
        <v>161</v>
      </c>
      <c r="O11" s="525" t="s">
        <v>248</v>
      </c>
      <c r="P11" s="525"/>
      <c r="Q11" s="524" t="s">
        <v>160</v>
      </c>
      <c r="R11" s="524" t="s">
        <v>161</v>
      </c>
      <c r="S11" s="525" t="s">
        <v>248</v>
      </c>
      <c r="T11" s="525"/>
    </row>
    <row r="12" spans="3:20" ht="12" customHeight="1" x14ac:dyDescent="0.2">
      <c r="C12" s="29"/>
      <c r="D12" s="526"/>
      <c r="E12" s="384"/>
      <c r="F12" s="384"/>
      <c r="G12" s="527"/>
      <c r="H12" s="527"/>
      <c r="I12" s="384"/>
      <c r="J12" s="384"/>
      <c r="K12" s="527"/>
      <c r="L12" s="527"/>
      <c r="M12" s="384"/>
      <c r="N12" s="384"/>
      <c r="O12" s="527"/>
      <c r="P12" s="527"/>
      <c r="Q12" s="384"/>
      <c r="R12" s="384"/>
      <c r="S12" s="527"/>
      <c r="T12" s="527"/>
    </row>
    <row r="13" spans="3:20" ht="13.5" customHeight="1" x14ac:dyDescent="0.2">
      <c r="C13" s="29"/>
      <c r="D13" s="351" t="s">
        <v>24</v>
      </c>
      <c r="E13" s="384">
        <v>22674</v>
      </c>
      <c r="F13" s="384">
        <v>29208</v>
      </c>
      <c r="G13" s="383">
        <v>11995</v>
      </c>
      <c r="H13" s="383"/>
      <c r="I13" s="384">
        <v>11747</v>
      </c>
      <c r="J13" s="384">
        <v>16777</v>
      </c>
      <c r="K13" s="383">
        <v>6287</v>
      </c>
      <c r="L13" s="383"/>
      <c r="M13" s="384">
        <f>SUM(M15,M17,M19,M21,M23,M25)</f>
        <v>21485</v>
      </c>
      <c r="N13" s="384">
        <f>SUM(N15,N17,N19,N21,N23,N25)</f>
        <v>29100</v>
      </c>
      <c r="O13" s="383">
        <f>SUM(O15,O17,O19,O21,O23,O25)</f>
        <v>9851</v>
      </c>
      <c r="P13" s="383"/>
      <c r="Q13" s="384">
        <f>SUM(Q15,Q17,Q19,Q21,Q23,Q25)</f>
        <v>17147</v>
      </c>
      <c r="R13" s="384">
        <f>SUM(R15,R17,R19,R21,R23,R25)</f>
        <v>23379</v>
      </c>
      <c r="S13" s="383">
        <f>SUM(S15,S17,S19,S21,S23,S25)</f>
        <v>10302</v>
      </c>
      <c r="T13" s="383"/>
    </row>
    <row r="14" spans="3:20" ht="12" customHeight="1" x14ac:dyDescent="0.2">
      <c r="C14" s="29"/>
      <c r="D14" s="526"/>
      <c r="E14" s="383"/>
      <c r="F14" s="383"/>
      <c r="G14" s="528"/>
      <c r="H14" s="528"/>
      <c r="I14" s="383"/>
      <c r="J14" s="383"/>
      <c r="K14" s="528"/>
      <c r="L14" s="528"/>
      <c r="M14" s="383"/>
      <c r="N14" s="383"/>
      <c r="O14" s="528"/>
      <c r="P14" s="528"/>
      <c r="Q14" s="383"/>
      <c r="R14" s="383"/>
      <c r="S14" s="528"/>
      <c r="T14" s="528"/>
    </row>
    <row r="15" spans="3:20" ht="12" customHeight="1" x14ac:dyDescent="0.2">
      <c r="C15" s="29"/>
      <c r="D15" s="522" t="s">
        <v>154</v>
      </c>
      <c r="E15" s="155">
        <v>14864</v>
      </c>
      <c r="F15" s="155">
        <v>19677</v>
      </c>
      <c r="G15" s="328">
        <v>3200</v>
      </c>
      <c r="H15" s="529"/>
      <c r="I15" s="155">
        <v>7240</v>
      </c>
      <c r="J15" s="155">
        <v>11079</v>
      </c>
      <c r="K15" s="328">
        <v>1472</v>
      </c>
      <c r="L15" s="529"/>
      <c r="M15" s="155">
        <v>15240</v>
      </c>
      <c r="N15" s="155">
        <v>20417</v>
      </c>
      <c r="O15" s="328">
        <v>2504</v>
      </c>
      <c r="P15" s="529"/>
      <c r="Q15" s="155">
        <v>12032</v>
      </c>
      <c r="R15" s="155">
        <v>16377</v>
      </c>
      <c r="S15" s="328">
        <v>4274</v>
      </c>
      <c r="T15" s="529"/>
    </row>
    <row r="16" spans="3:20" ht="13.5" customHeight="1" x14ac:dyDescent="0.2">
      <c r="C16" s="29"/>
      <c r="D16" s="522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8"/>
      <c r="Q16" s="528"/>
      <c r="R16" s="528"/>
      <c r="S16" s="528"/>
      <c r="T16" s="528"/>
    </row>
    <row r="17" spans="3:20" ht="13.5" customHeight="1" x14ac:dyDescent="0.2">
      <c r="C17" s="29"/>
      <c r="D17" s="522" t="s">
        <v>155</v>
      </c>
      <c r="E17" s="528">
        <v>2367</v>
      </c>
      <c r="F17" s="528">
        <v>2896</v>
      </c>
      <c r="G17" s="328">
        <v>3589</v>
      </c>
      <c r="H17" s="529"/>
      <c r="I17" s="528">
        <v>1177</v>
      </c>
      <c r="J17" s="528">
        <v>1325</v>
      </c>
      <c r="K17" s="328">
        <v>1583</v>
      </c>
      <c r="L17" s="529"/>
      <c r="M17" s="528">
        <v>2138</v>
      </c>
      <c r="N17" s="528">
        <v>2858</v>
      </c>
      <c r="O17" s="328">
        <v>2893</v>
      </c>
      <c r="P17" s="529"/>
      <c r="Q17" s="528">
        <v>1556</v>
      </c>
      <c r="R17" s="528">
        <v>2052</v>
      </c>
      <c r="S17" s="328">
        <v>1897</v>
      </c>
      <c r="T17" s="529"/>
    </row>
    <row r="18" spans="3:20" ht="13.5" customHeight="1" x14ac:dyDescent="0.2">
      <c r="C18" s="29"/>
      <c r="D18" s="522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</row>
    <row r="19" spans="3:20" ht="13.5" customHeight="1" x14ac:dyDescent="0.2">
      <c r="C19" s="29"/>
      <c r="D19" s="522" t="s">
        <v>156</v>
      </c>
      <c r="E19" s="528">
        <v>1213</v>
      </c>
      <c r="F19" s="528">
        <v>1605</v>
      </c>
      <c r="G19" s="328">
        <v>850</v>
      </c>
      <c r="H19" s="529"/>
      <c r="I19" s="528">
        <v>550</v>
      </c>
      <c r="J19" s="528">
        <v>612</v>
      </c>
      <c r="K19" s="328">
        <v>712</v>
      </c>
      <c r="L19" s="529"/>
      <c r="M19" s="528">
        <v>653</v>
      </c>
      <c r="N19" s="528">
        <v>833</v>
      </c>
      <c r="O19" s="328">
        <v>1065</v>
      </c>
      <c r="P19" s="529"/>
      <c r="Q19" s="528">
        <v>607</v>
      </c>
      <c r="R19" s="528">
        <v>782</v>
      </c>
      <c r="S19" s="328">
        <v>847</v>
      </c>
      <c r="T19" s="529"/>
    </row>
    <row r="20" spans="3:20" ht="13.5" customHeight="1" x14ac:dyDescent="0.2">
      <c r="C20" s="29"/>
      <c r="D20" s="522"/>
      <c r="E20" s="383"/>
      <c r="F20" s="383"/>
      <c r="G20" s="528"/>
      <c r="H20" s="528"/>
      <c r="I20" s="383"/>
      <c r="J20" s="383"/>
      <c r="K20" s="528"/>
      <c r="L20" s="528"/>
      <c r="M20" s="383"/>
      <c r="N20" s="383"/>
      <c r="O20" s="528"/>
      <c r="P20" s="528"/>
      <c r="Q20" s="383"/>
      <c r="R20" s="383"/>
      <c r="S20" s="528"/>
      <c r="T20" s="528"/>
    </row>
    <row r="21" spans="3:20" ht="13.5" customHeight="1" x14ac:dyDescent="0.2">
      <c r="C21" s="29"/>
      <c r="D21" s="522" t="s">
        <v>157</v>
      </c>
      <c r="E21" s="328">
        <v>1868</v>
      </c>
      <c r="F21" s="328">
        <v>2357</v>
      </c>
      <c r="G21" s="328">
        <v>1278</v>
      </c>
      <c r="H21" s="328"/>
      <c r="I21" s="328">
        <v>1739</v>
      </c>
      <c r="J21" s="328">
        <v>2482</v>
      </c>
      <c r="K21" s="328">
        <v>1486</v>
      </c>
      <c r="L21" s="328"/>
      <c r="M21" s="328">
        <v>1937</v>
      </c>
      <c r="N21" s="328">
        <v>3136</v>
      </c>
      <c r="O21" s="328">
        <v>1799</v>
      </c>
      <c r="P21" s="328"/>
      <c r="Q21" s="328">
        <v>1386</v>
      </c>
      <c r="R21" s="328">
        <v>2273</v>
      </c>
      <c r="S21" s="328">
        <v>1126</v>
      </c>
      <c r="T21" s="328"/>
    </row>
    <row r="22" spans="3:20" ht="13.5" customHeight="1" x14ac:dyDescent="0.2">
      <c r="C22" s="29"/>
      <c r="D22" s="522"/>
      <c r="E22" s="328"/>
      <c r="F22" s="328"/>
      <c r="G22" s="528"/>
      <c r="H22" s="528"/>
      <c r="I22" s="328"/>
      <c r="J22" s="328"/>
      <c r="K22" s="528"/>
      <c r="L22" s="528"/>
      <c r="M22" s="328"/>
      <c r="N22" s="328"/>
      <c r="O22" s="528"/>
      <c r="P22" s="528"/>
      <c r="Q22" s="328"/>
      <c r="R22" s="328"/>
      <c r="S22" s="528"/>
      <c r="T22" s="528"/>
    </row>
    <row r="23" spans="3:20" ht="13.5" customHeight="1" x14ac:dyDescent="0.2">
      <c r="C23" s="29"/>
      <c r="D23" s="522" t="s">
        <v>158</v>
      </c>
      <c r="E23" s="328">
        <v>461</v>
      </c>
      <c r="F23" s="328">
        <v>525</v>
      </c>
      <c r="G23" s="328">
        <v>2029</v>
      </c>
      <c r="H23" s="328"/>
      <c r="I23" s="328">
        <v>287</v>
      </c>
      <c r="J23" s="328">
        <v>371</v>
      </c>
      <c r="K23" s="328">
        <v>701</v>
      </c>
      <c r="L23" s="328"/>
      <c r="M23" s="328">
        <v>613</v>
      </c>
      <c r="N23" s="328">
        <v>828</v>
      </c>
      <c r="O23" s="328">
        <v>1187</v>
      </c>
      <c r="P23" s="328"/>
      <c r="Q23" s="328">
        <v>386</v>
      </c>
      <c r="R23" s="328">
        <v>516</v>
      </c>
      <c r="S23" s="328">
        <v>1461</v>
      </c>
      <c r="T23" s="328"/>
    </row>
    <row r="24" spans="3:20" ht="13.5" customHeight="1" x14ac:dyDescent="0.2">
      <c r="C24" s="29"/>
      <c r="D24" s="522"/>
      <c r="E24" s="328"/>
      <c r="F24" s="328"/>
      <c r="G24" s="528"/>
      <c r="H24" s="528"/>
      <c r="I24" s="328"/>
      <c r="J24" s="328"/>
      <c r="K24" s="528"/>
      <c r="L24" s="528"/>
      <c r="M24" s="328"/>
      <c r="N24" s="328"/>
      <c r="O24" s="528"/>
      <c r="P24" s="528"/>
      <c r="Q24" s="328"/>
      <c r="R24" s="328"/>
      <c r="S24" s="528"/>
      <c r="T24" s="528"/>
    </row>
    <row r="25" spans="3:20" ht="13.5" customHeight="1" x14ac:dyDescent="0.2">
      <c r="C25" s="29"/>
      <c r="D25" s="521" t="s">
        <v>18</v>
      </c>
      <c r="E25" s="530">
        <v>1901</v>
      </c>
      <c r="F25" s="530">
        <v>2148</v>
      </c>
      <c r="G25" s="530">
        <v>1049</v>
      </c>
      <c r="H25" s="530"/>
      <c r="I25" s="530">
        <v>754</v>
      </c>
      <c r="J25" s="530">
        <v>908</v>
      </c>
      <c r="K25" s="530">
        <v>333</v>
      </c>
      <c r="L25" s="530"/>
      <c r="M25" s="530">
        <v>904</v>
      </c>
      <c r="N25" s="530">
        <v>1028</v>
      </c>
      <c r="O25" s="530">
        <v>403</v>
      </c>
      <c r="P25" s="530"/>
      <c r="Q25" s="530">
        <v>1180</v>
      </c>
      <c r="R25" s="530">
        <v>1379</v>
      </c>
      <c r="S25" s="530">
        <v>697</v>
      </c>
      <c r="T25" s="530"/>
    </row>
    <row r="26" spans="3:20" x14ac:dyDescent="0.2">
      <c r="C26" s="29"/>
      <c r="D26" s="531" t="s">
        <v>173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3:20" ht="13.5" customHeight="1" x14ac:dyDescent="0.2">
      <c r="C27" s="29"/>
      <c r="D27" s="350" t="s">
        <v>319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3:20" ht="13.5" customHeight="1" x14ac:dyDescent="0.2">
      <c r="C28" s="29"/>
      <c r="D28" s="353" t="s">
        <v>320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3:20" ht="13.5" customHeight="1" x14ac:dyDescent="0.2">
      <c r="C29" s="29"/>
      <c r="D29" s="35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3:20" ht="13.5" customHeight="1" x14ac:dyDescent="0.2">
      <c r="C30" s="29"/>
      <c r="D30" s="280" t="s">
        <v>174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20" ht="13.5" customHeight="1" x14ac:dyDescent="0.2">
      <c r="C31" s="29"/>
      <c r="D31" s="35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20" ht="13.5" customHeight="1" x14ac:dyDescent="0.2"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3:4" ht="13.5" customHeight="1" x14ac:dyDescent="0.2">
      <c r="C33" s="29"/>
      <c r="D33" s="353"/>
    </row>
    <row r="34" spans="3:4" ht="13.5" customHeight="1" x14ac:dyDescent="0.2">
      <c r="C34" s="29"/>
      <c r="D34" s="353"/>
    </row>
    <row r="35" spans="3:4" x14ac:dyDescent="0.2">
      <c r="C35" s="29"/>
      <c r="D35" s="29"/>
    </row>
    <row r="36" spans="3:4" x14ac:dyDescent="0.2">
      <c r="C36" s="29"/>
      <c r="D36" s="29"/>
    </row>
    <row r="37" spans="3:4" x14ac:dyDescent="0.2">
      <c r="C37" s="354"/>
      <c r="D37" s="354"/>
    </row>
    <row r="38" spans="3:4" x14ac:dyDescent="0.2">
      <c r="C38" s="29"/>
      <c r="D38" s="29"/>
    </row>
    <row r="39" spans="3:4" x14ac:dyDescent="0.2">
      <c r="C39" s="29"/>
      <c r="D39" s="353"/>
    </row>
    <row r="40" spans="3:4" x14ac:dyDescent="0.2">
      <c r="C40" s="29"/>
      <c r="D40" s="29"/>
    </row>
    <row r="41" spans="3:4" x14ac:dyDescent="0.2">
      <c r="C41" s="29"/>
      <c r="D41" s="29"/>
    </row>
    <row r="42" spans="3:4" x14ac:dyDescent="0.2">
      <c r="C42" s="29"/>
      <c r="D42" s="29"/>
    </row>
    <row r="43" spans="3:4" x14ac:dyDescent="0.2">
      <c r="C43" s="29"/>
      <c r="D43" s="29"/>
    </row>
    <row r="44" spans="3:4" x14ac:dyDescent="0.2">
      <c r="C44" s="29"/>
      <c r="D44" s="29"/>
    </row>
    <row r="45" spans="3:4" x14ac:dyDescent="0.2">
      <c r="C45" s="29"/>
      <c r="D45" s="29"/>
    </row>
    <row r="46" spans="3:4" x14ac:dyDescent="0.2">
      <c r="C46" s="29"/>
      <c r="D46" s="29"/>
    </row>
    <row r="47" spans="3:4" x14ac:dyDescent="0.2">
      <c r="C47" s="29"/>
      <c r="D47" s="29"/>
    </row>
    <row r="48" spans="3:4" x14ac:dyDescent="0.2">
      <c r="C48" s="29"/>
      <c r="D48" s="29"/>
    </row>
    <row r="49" spans="3:4" ht="12" customHeight="1" x14ac:dyDescent="0.2">
      <c r="C49" s="29"/>
      <c r="D49" s="29"/>
    </row>
    <row r="50" spans="3:4" x14ac:dyDescent="0.2">
      <c r="C50" s="29"/>
      <c r="D50" s="29"/>
    </row>
    <row r="51" spans="3:4" x14ac:dyDescent="0.2">
      <c r="C51" s="29"/>
      <c r="D51" s="29"/>
    </row>
    <row r="52" spans="3:4" x14ac:dyDescent="0.2">
      <c r="C52" s="29"/>
      <c r="D52" s="29"/>
    </row>
    <row r="53" spans="3:4" ht="12.75" customHeight="1" x14ac:dyDescent="0.2">
      <c r="C53" s="29"/>
      <c r="D53" s="29"/>
    </row>
    <row r="54" spans="3:4" x14ac:dyDescent="0.2">
      <c r="C54" s="29"/>
      <c r="D54" s="29"/>
    </row>
    <row r="55" spans="3:4" x14ac:dyDescent="0.2">
      <c r="C55" s="29"/>
      <c r="D55" s="29"/>
    </row>
    <row r="56" spans="3:4" x14ac:dyDescent="0.2">
      <c r="C56" s="29"/>
      <c r="D56" s="29"/>
    </row>
    <row r="57" spans="3:4" x14ac:dyDescent="0.2">
      <c r="C57" s="29"/>
      <c r="D57" s="29"/>
    </row>
    <row r="58" spans="3:4" ht="9.75" customHeight="1" x14ac:dyDescent="0.2">
      <c r="C58" s="29"/>
      <c r="D58" s="29"/>
    </row>
    <row r="59" spans="3:4" x14ac:dyDescent="0.2">
      <c r="C59" s="29"/>
      <c r="D59" s="29"/>
    </row>
    <row r="60" spans="3:4" x14ac:dyDescent="0.2">
      <c r="C60" s="29"/>
      <c r="D60" s="29"/>
    </row>
    <row r="61" spans="3:4" x14ac:dyDescent="0.2">
      <c r="C61" s="29"/>
      <c r="D61" s="29"/>
    </row>
    <row r="62" spans="3:4" ht="9" customHeight="1" x14ac:dyDescent="0.2">
      <c r="C62" s="29"/>
      <c r="D62" s="29"/>
    </row>
    <row r="63" spans="3:4" x14ac:dyDescent="0.2">
      <c r="C63" s="29"/>
      <c r="D63" s="29"/>
    </row>
    <row r="64" spans="3:4" x14ac:dyDescent="0.2">
      <c r="C64" s="29"/>
      <c r="D64" s="29"/>
    </row>
    <row r="65" spans="3:4" x14ac:dyDescent="0.2">
      <c r="C65" s="29"/>
      <c r="D65" s="29"/>
    </row>
    <row r="66" spans="3:4" x14ac:dyDescent="0.2">
      <c r="C66" s="29"/>
      <c r="D66" s="29"/>
    </row>
  </sheetData>
  <mergeCells count="6">
    <mergeCell ref="N2:Q2"/>
    <mergeCell ref="Q10:T10"/>
    <mergeCell ref="D8:T8"/>
    <mergeCell ref="E10:H10"/>
    <mergeCell ref="I10:L10"/>
    <mergeCell ref="M10:P10"/>
  </mergeCells>
  <pageMargins left="0.7" right="0.7" top="0.75" bottom="0.75" header="0.3" footer="0.3"/>
  <pageSetup scale="42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552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438150</xdr:colOff>
                <xdr:row>3</xdr:row>
                <xdr:rowOff>85725</xdr:rowOff>
              </to>
            </anchor>
          </objectPr>
        </oleObject>
      </mc:Choice>
      <mc:Fallback>
        <oleObject progId="MSPhotoEd.3" shapeId="55297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J40"/>
  <sheetViews>
    <sheetView zoomScaleNormal="100" workbookViewId="0">
      <selection activeCell="B13" sqref="B13"/>
    </sheetView>
  </sheetViews>
  <sheetFormatPr defaultRowHeight="12.75" x14ac:dyDescent="0.2"/>
  <cols>
    <col min="1" max="2" width="9.140625" style="29"/>
    <col min="3" max="3" width="30" style="29" customWidth="1"/>
    <col min="4" max="5" width="14" style="29" customWidth="1"/>
    <col min="6" max="6" width="21" style="29" customWidth="1"/>
    <col min="7" max="7" width="12.7109375" style="29" customWidth="1"/>
    <col min="8" max="8" width="10.42578125" style="29" customWidth="1"/>
    <col min="9" max="9" width="13" style="29" customWidth="1"/>
    <col min="10" max="10" width="14.7109375" style="29" customWidth="1"/>
    <col min="11" max="16384" width="9.140625" style="29"/>
  </cols>
  <sheetData>
    <row r="2" spans="2:10" ht="15" customHeight="1" x14ac:dyDescent="0.2">
      <c r="G2" s="604" t="s">
        <v>340</v>
      </c>
      <c r="H2" s="604"/>
      <c r="I2" s="604"/>
      <c r="J2" s="604"/>
    </row>
    <row r="6" spans="2:10" ht="23.25" x14ac:dyDescent="0.35">
      <c r="B6" s="355" t="s">
        <v>286</v>
      </c>
      <c r="C6" s="655" t="s">
        <v>349</v>
      </c>
      <c r="D6" s="655"/>
      <c r="E6" s="655"/>
      <c r="F6" s="655"/>
      <c r="G6" s="655"/>
      <c r="H6" s="655"/>
      <c r="I6" s="655"/>
      <c r="J6" s="655"/>
    </row>
    <row r="7" spans="2:10" ht="15" x14ac:dyDescent="0.25">
      <c r="B7" s="49"/>
      <c r="C7" s="532"/>
      <c r="D7" s="533"/>
      <c r="E7" s="533"/>
      <c r="F7" s="533"/>
      <c r="G7" s="533"/>
      <c r="H7" s="533"/>
      <c r="I7" s="533"/>
      <c r="J7" s="533"/>
    </row>
    <row r="8" spans="2:10" ht="15" x14ac:dyDescent="0.25">
      <c r="B8" s="49"/>
      <c r="C8" s="534" t="s">
        <v>261</v>
      </c>
      <c r="D8" s="369" t="s">
        <v>0</v>
      </c>
      <c r="E8" s="369" t="s">
        <v>0</v>
      </c>
      <c r="F8" s="369"/>
      <c r="G8" s="369"/>
      <c r="H8" s="369"/>
      <c r="I8" s="369"/>
      <c r="J8" s="373"/>
    </row>
    <row r="9" spans="2:10" ht="15" x14ac:dyDescent="0.25">
      <c r="B9" s="49"/>
      <c r="C9" s="535" t="s">
        <v>262</v>
      </c>
      <c r="D9" s="536" t="s">
        <v>154</v>
      </c>
      <c r="E9" s="536" t="s">
        <v>155</v>
      </c>
      <c r="F9" s="536" t="s">
        <v>156</v>
      </c>
      <c r="G9" s="536" t="s">
        <v>157</v>
      </c>
      <c r="H9" s="536" t="s">
        <v>158</v>
      </c>
      <c r="I9" s="536" t="s">
        <v>18</v>
      </c>
      <c r="J9" s="535" t="s">
        <v>24</v>
      </c>
    </row>
    <row r="10" spans="2:10" ht="15" x14ac:dyDescent="0.25">
      <c r="B10" s="49"/>
      <c r="C10" s="538"/>
      <c r="D10" s="155"/>
      <c r="E10" s="155"/>
      <c r="F10" s="155"/>
      <c r="G10" s="155"/>
      <c r="H10" s="155"/>
      <c r="I10" s="155"/>
      <c r="J10" s="539"/>
    </row>
    <row r="11" spans="2:10" ht="15.75" x14ac:dyDescent="0.25">
      <c r="B11" s="49"/>
      <c r="C11" s="540" t="s">
        <v>321</v>
      </c>
      <c r="D11" s="541">
        <v>10310</v>
      </c>
      <c r="E11" s="541">
        <v>4789</v>
      </c>
      <c r="F11" s="541">
        <v>3676</v>
      </c>
      <c r="G11" s="541">
        <v>1464</v>
      </c>
      <c r="H11" s="541">
        <v>1515</v>
      </c>
      <c r="I11" s="541">
        <v>1597</v>
      </c>
      <c r="J11" s="542">
        <f>SUM(D11:I11)</f>
        <v>23351</v>
      </c>
    </row>
    <row r="12" spans="2:10" ht="18.75" customHeight="1" x14ac:dyDescent="0.2">
      <c r="C12" s="280" t="s">
        <v>351</v>
      </c>
    </row>
    <row r="13" spans="2:10" ht="18.75" customHeight="1" x14ac:dyDescent="0.2">
      <c r="C13" s="280"/>
    </row>
    <row r="14" spans="2:10" ht="23.25" x14ac:dyDescent="0.35">
      <c r="B14" s="355" t="s">
        <v>287</v>
      </c>
      <c r="C14" s="656" t="s">
        <v>350</v>
      </c>
      <c r="D14" s="656"/>
      <c r="E14" s="656"/>
      <c r="F14" s="656"/>
      <c r="G14" s="656"/>
    </row>
    <row r="15" spans="2:10" ht="15" x14ac:dyDescent="0.25">
      <c r="C15" s="657" t="s">
        <v>322</v>
      </c>
      <c r="D15" s="658"/>
      <c r="E15" s="659"/>
      <c r="F15" s="657" t="s">
        <v>323</v>
      </c>
      <c r="G15" s="659"/>
    </row>
    <row r="16" spans="2:10" ht="15" x14ac:dyDescent="0.25">
      <c r="C16" s="543"/>
      <c r="D16" s="649">
        <v>2022</v>
      </c>
      <c r="E16" s="649"/>
      <c r="F16" s="544"/>
      <c r="G16" s="545"/>
    </row>
    <row r="17" spans="2:10" ht="26.25" x14ac:dyDescent="0.25">
      <c r="C17" s="546" t="s">
        <v>250</v>
      </c>
      <c r="D17" s="547" t="s">
        <v>93</v>
      </c>
      <c r="E17" s="547" t="s">
        <v>251</v>
      </c>
      <c r="F17" s="544" t="s">
        <v>253</v>
      </c>
      <c r="G17" s="545">
        <v>6346</v>
      </c>
    </row>
    <row r="18" spans="2:10" ht="25.5" x14ac:dyDescent="0.2">
      <c r="C18" s="537" t="s">
        <v>154</v>
      </c>
      <c r="D18" s="548">
        <v>348</v>
      </c>
      <c r="E18" s="548">
        <v>307</v>
      </c>
      <c r="F18" s="549" t="s">
        <v>254</v>
      </c>
      <c r="G18" s="548" t="s">
        <v>316</v>
      </c>
    </row>
    <row r="19" spans="2:10" ht="25.5" x14ac:dyDescent="0.2">
      <c r="C19" s="537" t="s">
        <v>155</v>
      </c>
      <c r="D19" s="550">
        <v>40</v>
      </c>
      <c r="E19" s="548">
        <v>117</v>
      </c>
      <c r="F19" s="549" t="s">
        <v>255</v>
      </c>
      <c r="G19" s="548">
        <v>8352</v>
      </c>
    </row>
    <row r="20" spans="2:10" ht="25.5" x14ac:dyDescent="0.2">
      <c r="C20" s="537" t="s">
        <v>156</v>
      </c>
      <c r="D20" s="550">
        <v>7</v>
      </c>
      <c r="E20" s="548">
        <v>16</v>
      </c>
      <c r="F20" s="549" t="s">
        <v>256</v>
      </c>
      <c r="G20" s="548" t="s">
        <v>316</v>
      </c>
    </row>
    <row r="21" spans="2:10" ht="25.5" x14ac:dyDescent="0.2">
      <c r="C21" s="537" t="s">
        <v>157</v>
      </c>
      <c r="D21" s="550">
        <v>10</v>
      </c>
      <c r="E21" s="548">
        <v>20</v>
      </c>
      <c r="F21" s="549" t="s">
        <v>257</v>
      </c>
      <c r="G21" s="548" t="s">
        <v>316</v>
      </c>
      <c r="H21" s="280"/>
    </row>
    <row r="22" spans="2:10" ht="25.5" x14ac:dyDescent="0.2">
      <c r="C22" s="537" t="s">
        <v>158</v>
      </c>
      <c r="D22" s="550">
        <v>12</v>
      </c>
      <c r="E22" s="548">
        <v>10</v>
      </c>
      <c r="F22" s="549" t="s">
        <v>258</v>
      </c>
      <c r="G22" s="548" t="s">
        <v>316</v>
      </c>
    </row>
    <row r="23" spans="2:10" ht="25.5" x14ac:dyDescent="0.2">
      <c r="C23" s="537" t="s">
        <v>18</v>
      </c>
      <c r="D23" s="550">
        <v>14</v>
      </c>
      <c r="E23" s="548">
        <v>29</v>
      </c>
      <c r="F23" s="549" t="s">
        <v>259</v>
      </c>
      <c r="G23" s="548" t="s">
        <v>316</v>
      </c>
    </row>
    <row r="24" spans="2:10" ht="15" x14ac:dyDescent="0.25">
      <c r="C24" s="551" t="s">
        <v>24</v>
      </c>
      <c r="D24" s="552">
        <f>SUM(D18:D23)</f>
        <v>431</v>
      </c>
      <c r="E24" s="552">
        <f>SUM(E18:E23)</f>
        <v>499</v>
      </c>
      <c r="F24" s="551" t="s">
        <v>260</v>
      </c>
      <c r="G24" s="552"/>
      <c r="H24" s="49"/>
    </row>
    <row r="26" spans="2:10" x14ac:dyDescent="0.2">
      <c r="B26" s="49"/>
      <c r="C26" s="280" t="s">
        <v>324</v>
      </c>
    </row>
    <row r="27" spans="2:10" x14ac:dyDescent="0.2">
      <c r="B27" s="49"/>
      <c r="C27" s="280" t="s">
        <v>174</v>
      </c>
    </row>
    <row r="28" spans="2:10" ht="19.5" customHeight="1" x14ac:dyDescent="0.35">
      <c r="C28" s="650" t="s">
        <v>325</v>
      </c>
      <c r="D28" s="651"/>
      <c r="E28" s="651"/>
      <c r="F28" s="651"/>
      <c r="G28" s="651"/>
      <c r="H28" s="553"/>
      <c r="I28" s="553"/>
      <c r="J28" s="553"/>
    </row>
    <row r="29" spans="2:10" ht="15" x14ac:dyDescent="0.25">
      <c r="B29" s="49"/>
      <c r="C29" s="652"/>
      <c r="D29" s="652"/>
      <c r="E29" s="652"/>
      <c r="F29" s="652"/>
      <c r="G29" s="652"/>
      <c r="H29" s="49"/>
    </row>
    <row r="30" spans="2:10" ht="15" x14ac:dyDescent="0.25">
      <c r="B30" s="49"/>
      <c r="C30" s="356"/>
      <c r="D30" s="653"/>
      <c r="E30" s="654"/>
      <c r="F30" s="357"/>
      <c r="G30" s="358"/>
      <c r="H30" s="49"/>
    </row>
    <row r="31" spans="2:10" ht="15" x14ac:dyDescent="0.25">
      <c r="B31" s="49"/>
      <c r="C31" s="365"/>
      <c r="D31" s="366"/>
      <c r="E31" s="366"/>
      <c r="F31" s="357"/>
      <c r="G31" s="358"/>
      <c r="H31" s="49"/>
    </row>
    <row r="32" spans="2:10" x14ac:dyDescent="0.2">
      <c r="B32" s="49"/>
      <c r="C32" s="357"/>
      <c r="D32" s="358"/>
      <c r="E32" s="358"/>
      <c r="F32" s="357"/>
      <c r="G32" s="358"/>
      <c r="H32" s="49"/>
    </row>
    <row r="33" spans="2:8" x14ac:dyDescent="0.2">
      <c r="B33" s="49"/>
      <c r="C33" s="357"/>
      <c r="D33" s="358"/>
      <c r="E33" s="358"/>
      <c r="F33" s="357"/>
      <c r="G33" s="358"/>
      <c r="H33" s="49"/>
    </row>
    <row r="34" spans="2:8" x14ac:dyDescent="0.2">
      <c r="B34" s="49"/>
      <c r="C34" s="357"/>
      <c r="D34" s="358"/>
      <c r="E34" s="358"/>
      <c r="F34" s="357"/>
      <c r="G34" s="358"/>
      <c r="H34" s="49"/>
    </row>
    <row r="35" spans="2:8" x14ac:dyDescent="0.2">
      <c r="B35" s="49"/>
      <c r="C35" s="357"/>
      <c r="D35" s="358"/>
      <c r="E35" s="358"/>
      <c r="F35" s="357"/>
      <c r="G35" s="358"/>
      <c r="H35" s="49"/>
    </row>
    <row r="36" spans="2:8" x14ac:dyDescent="0.2">
      <c r="B36" s="49"/>
      <c r="C36" s="357"/>
      <c r="D36" s="358"/>
      <c r="E36" s="358"/>
      <c r="F36" s="357"/>
      <c r="G36" s="358"/>
      <c r="H36" s="49"/>
    </row>
    <row r="37" spans="2:8" x14ac:dyDescent="0.2">
      <c r="B37" s="49"/>
      <c r="C37" s="357"/>
      <c r="D37" s="358"/>
      <c r="E37" s="358"/>
      <c r="F37" s="357"/>
      <c r="G37" s="358"/>
      <c r="H37" s="49"/>
    </row>
    <row r="38" spans="2:8" ht="15" x14ac:dyDescent="0.25">
      <c r="B38" s="49"/>
      <c r="C38" s="356"/>
      <c r="D38" s="366"/>
      <c r="E38" s="366"/>
      <c r="F38" s="356"/>
      <c r="G38" s="366"/>
      <c r="H38" s="49"/>
    </row>
    <row r="39" spans="2:8" x14ac:dyDescent="0.2">
      <c r="C39" s="49"/>
      <c r="D39" s="49"/>
      <c r="E39" s="49"/>
      <c r="F39" s="49"/>
      <c r="G39" s="49"/>
    </row>
    <row r="40" spans="2:8" x14ac:dyDescent="0.2">
      <c r="B40" s="280"/>
    </row>
  </sheetData>
  <mergeCells count="10">
    <mergeCell ref="G2:J2"/>
    <mergeCell ref="C6:J6"/>
    <mergeCell ref="C14:G14"/>
    <mergeCell ref="C15:E15"/>
    <mergeCell ref="F15:G15"/>
    <mergeCell ref="D16:E16"/>
    <mergeCell ref="C28:G28"/>
    <mergeCell ref="C29:E29"/>
    <mergeCell ref="F29:G29"/>
    <mergeCell ref="D30:E30"/>
  </mergeCells>
  <pageMargins left="0.7" right="0.7" top="0.75" bottom="0.75" header="0.3" footer="0.3"/>
  <pageSetup scale="62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56321" r:id="rId4">
          <objectPr defaultSize="0" autoPict="0" r:id="rId5">
            <anchor moveWithCells="1" sizeWithCells="1">
              <from>
                <xdr:col>2</xdr:col>
                <xdr:colOff>266700</xdr:colOff>
                <xdr:row>0</xdr:row>
                <xdr:rowOff>95250</xdr:rowOff>
              </from>
              <to>
                <xdr:col>2</xdr:col>
                <xdr:colOff>1314450</xdr:colOff>
                <xdr:row>3</xdr:row>
                <xdr:rowOff>152400</xdr:rowOff>
              </to>
            </anchor>
          </objectPr>
        </oleObject>
      </mc:Choice>
      <mc:Fallback>
        <oleObject progId="MSPhotoEd.3" shapeId="56321" r:id="rId4"/>
      </mc:Fallback>
    </mc:AlternateContent>
    <mc:AlternateContent xmlns:mc="http://schemas.openxmlformats.org/markup-compatibility/2006">
      <mc:Choice Requires="x14">
        <oleObject progId="MSPhotoEd.3" shapeId="56322" r:id="rId6">
          <objectPr defaultSize="0" autoPict="0" r:id="rId5">
            <anchor moveWithCells="1" sizeWithCells="1">
              <from>
                <xdr:col>2</xdr:col>
                <xdr:colOff>266700</xdr:colOff>
                <xdr:row>0</xdr:row>
                <xdr:rowOff>95250</xdr:rowOff>
              </from>
              <to>
                <xdr:col>2</xdr:col>
                <xdr:colOff>1314450</xdr:colOff>
                <xdr:row>3</xdr:row>
                <xdr:rowOff>152400</xdr:rowOff>
              </to>
            </anchor>
          </objectPr>
        </oleObject>
      </mc:Choice>
      <mc:Fallback>
        <oleObject progId="MSPhotoEd.3" shapeId="5632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B1:Q45"/>
  <sheetViews>
    <sheetView zoomScaleNormal="100" zoomScaleSheetLayoutView="100" workbookViewId="0">
      <selection activeCell="K4" sqref="K4"/>
    </sheetView>
  </sheetViews>
  <sheetFormatPr defaultColWidth="9.140625" defaultRowHeight="14.25" x14ac:dyDescent="0.2"/>
  <cols>
    <col min="1" max="1" width="9.140625" style="282"/>
    <col min="2" max="2" width="6.85546875" style="282" customWidth="1"/>
    <col min="3" max="3" width="13.140625" style="282" customWidth="1"/>
    <col min="4" max="7" width="11.42578125" style="282" customWidth="1"/>
    <col min="8" max="16384" width="9.140625" style="282"/>
  </cols>
  <sheetData>
    <row r="1" spans="2:17" s="281" customFormat="1" ht="12.75" x14ac:dyDescent="0.2"/>
    <row r="2" spans="2:17" s="281" customFormat="1" ht="12.75" x14ac:dyDescent="0.2">
      <c r="I2" s="604" t="s">
        <v>340</v>
      </c>
      <c r="J2" s="604"/>
      <c r="K2" s="604"/>
      <c r="L2" s="604"/>
    </row>
    <row r="3" spans="2:17" s="281" customFormat="1" ht="15" x14ac:dyDescent="0.25">
      <c r="D3" s="568"/>
      <c r="E3" s="568"/>
      <c r="F3" s="568"/>
      <c r="G3" s="568"/>
      <c r="H3" s="568"/>
      <c r="I3" s="568"/>
      <c r="J3" s="568"/>
      <c r="K3" s="568"/>
    </row>
    <row r="4" spans="2:17" s="281" customFormat="1" ht="9" customHeight="1" x14ac:dyDescent="0.2"/>
    <row r="5" spans="2:17" s="280" customFormat="1" ht="12.75" x14ac:dyDescent="0.2">
      <c r="Q5" s="154"/>
    </row>
    <row r="6" spans="2:17" s="280" customFormat="1" ht="15.75" x14ac:dyDescent="0.25">
      <c r="B6" s="609" t="s">
        <v>359</v>
      </c>
      <c r="C6" s="609"/>
      <c r="D6" s="609"/>
      <c r="E6" s="609"/>
      <c r="F6" s="609"/>
      <c r="G6" s="609"/>
      <c r="H6" s="609"/>
      <c r="I6" s="609"/>
      <c r="J6" s="609"/>
      <c r="K6" s="609"/>
      <c r="L6" s="405"/>
      <c r="M6" s="405"/>
      <c r="N6" s="405"/>
      <c r="Q6" s="154"/>
    </row>
    <row r="7" spans="2:17" s="280" customFormat="1" ht="15.75" x14ac:dyDescent="0.25"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Q7" s="154"/>
    </row>
    <row r="8" spans="2:17" s="281" customFormat="1" ht="12.75" customHeight="1" x14ac:dyDescent="0.2"/>
    <row r="9" spans="2:17" ht="24.75" customHeight="1" x14ac:dyDescent="0.2">
      <c r="B9" s="569" t="s">
        <v>237</v>
      </c>
      <c r="C9" s="569" t="s">
        <v>345</v>
      </c>
    </row>
    <row r="10" spans="2:17" x14ac:dyDescent="0.2">
      <c r="C10" s="612" t="s">
        <v>226</v>
      </c>
      <c r="D10" s="614" t="s">
        <v>91</v>
      </c>
      <c r="E10" s="614"/>
      <c r="F10" s="614"/>
      <c r="G10" s="614"/>
    </row>
    <row r="11" spans="2:17" ht="38.25" x14ac:dyDescent="0.2">
      <c r="C11" s="613"/>
      <c r="D11" s="570" t="s">
        <v>235</v>
      </c>
      <c r="E11" s="570" t="s">
        <v>234</v>
      </c>
      <c r="F11" s="570" t="s">
        <v>355</v>
      </c>
      <c r="G11" s="571" t="s">
        <v>236</v>
      </c>
    </row>
    <row r="12" spans="2:17" x14ac:dyDescent="0.2">
      <c r="C12" s="443" t="s">
        <v>233</v>
      </c>
      <c r="D12" s="444">
        <f>SUM(D22,D32)</f>
        <v>44</v>
      </c>
      <c r="E12" s="444">
        <f t="shared" ref="E12:F12" si="0">SUM(E22,E32)</f>
        <v>0</v>
      </c>
      <c r="F12" s="444">
        <f t="shared" si="0"/>
        <v>0</v>
      </c>
      <c r="G12" s="347">
        <f t="shared" ref="G12:G18" si="1">SUM(D12:F12)</f>
        <v>44</v>
      </c>
    </row>
    <row r="13" spans="2:17" x14ac:dyDescent="0.2">
      <c r="C13" s="443" t="s">
        <v>232</v>
      </c>
      <c r="D13" s="444">
        <f t="shared" ref="D13:F17" si="2">SUM(D23,D33)</f>
        <v>171</v>
      </c>
      <c r="E13" s="444">
        <f t="shared" si="2"/>
        <v>53</v>
      </c>
      <c r="F13" s="444">
        <f t="shared" si="2"/>
        <v>0</v>
      </c>
      <c r="G13" s="347">
        <f t="shared" si="1"/>
        <v>224</v>
      </c>
    </row>
    <row r="14" spans="2:17" x14ac:dyDescent="0.2">
      <c r="C14" s="443" t="s">
        <v>231</v>
      </c>
      <c r="D14" s="444">
        <f t="shared" si="2"/>
        <v>312</v>
      </c>
      <c r="E14" s="444">
        <f t="shared" si="2"/>
        <v>134</v>
      </c>
      <c r="F14" s="444">
        <f t="shared" si="2"/>
        <v>0</v>
      </c>
      <c r="G14" s="347">
        <f t="shared" si="1"/>
        <v>446</v>
      </c>
    </row>
    <row r="15" spans="2:17" x14ac:dyDescent="0.2">
      <c r="C15" s="443" t="s">
        <v>227</v>
      </c>
      <c r="D15" s="444">
        <f t="shared" si="2"/>
        <v>319</v>
      </c>
      <c r="E15" s="444">
        <f t="shared" si="2"/>
        <v>201</v>
      </c>
      <c r="F15" s="444">
        <f t="shared" si="2"/>
        <v>23</v>
      </c>
      <c r="G15" s="347">
        <f t="shared" si="1"/>
        <v>543</v>
      </c>
    </row>
    <row r="16" spans="2:17" x14ac:dyDescent="0.2">
      <c r="C16" s="443" t="s">
        <v>228</v>
      </c>
      <c r="D16" s="444">
        <f t="shared" si="2"/>
        <v>202</v>
      </c>
      <c r="E16" s="444">
        <f t="shared" si="2"/>
        <v>278</v>
      </c>
      <c r="F16" s="444">
        <f t="shared" si="2"/>
        <v>263</v>
      </c>
      <c r="G16" s="347">
        <f t="shared" si="1"/>
        <v>743</v>
      </c>
    </row>
    <row r="17" spans="3:7" x14ac:dyDescent="0.2">
      <c r="C17" s="443" t="s">
        <v>230</v>
      </c>
      <c r="D17" s="444">
        <f t="shared" si="2"/>
        <v>1</v>
      </c>
      <c r="E17" s="444">
        <f t="shared" si="2"/>
        <v>38</v>
      </c>
      <c r="F17" s="444">
        <f t="shared" si="2"/>
        <v>17</v>
      </c>
      <c r="G17" s="347">
        <f t="shared" si="1"/>
        <v>56</v>
      </c>
    </row>
    <row r="18" spans="3:7" x14ac:dyDescent="0.2">
      <c r="C18" s="438" t="s">
        <v>24</v>
      </c>
      <c r="D18" s="444">
        <f>SUM(D12:D17)</f>
        <v>1049</v>
      </c>
      <c r="E18" s="444">
        <f>SUM(E12:E17)</f>
        <v>704</v>
      </c>
      <c r="F18" s="444">
        <f>SUM(F12:F17)</f>
        <v>303</v>
      </c>
      <c r="G18" s="347">
        <f t="shared" si="1"/>
        <v>2056</v>
      </c>
    </row>
    <row r="19" spans="3:7" x14ac:dyDescent="0.2">
      <c r="C19" s="412"/>
      <c r="D19" s="412"/>
      <c r="E19" s="412"/>
      <c r="F19" s="412"/>
      <c r="G19" s="412"/>
    </row>
    <row r="20" spans="3:7" x14ac:dyDescent="0.2">
      <c r="C20" s="612" t="s">
        <v>226</v>
      </c>
      <c r="D20" s="614" t="s">
        <v>26</v>
      </c>
      <c r="E20" s="614"/>
      <c r="F20" s="614"/>
      <c r="G20" s="614"/>
    </row>
    <row r="21" spans="3:7" ht="38.25" x14ac:dyDescent="0.2">
      <c r="C21" s="613"/>
      <c r="D21" s="570" t="s">
        <v>235</v>
      </c>
      <c r="E21" s="570" t="s">
        <v>234</v>
      </c>
      <c r="F21" s="570" t="s">
        <v>355</v>
      </c>
      <c r="G21" s="571" t="s">
        <v>236</v>
      </c>
    </row>
    <row r="22" spans="3:7" x14ac:dyDescent="0.2">
      <c r="C22" s="443" t="s">
        <v>233</v>
      </c>
      <c r="D22" s="444">
        <v>22</v>
      </c>
      <c r="E22" s="444"/>
      <c r="F22" s="572"/>
      <c r="G22" s="347">
        <f t="shared" ref="G22:G28" si="3">SUM(D22:F22)</f>
        <v>22</v>
      </c>
    </row>
    <row r="23" spans="3:7" x14ac:dyDescent="0.2">
      <c r="C23" s="443" t="s">
        <v>232</v>
      </c>
      <c r="D23" s="444">
        <v>88</v>
      </c>
      <c r="E23" s="444">
        <v>36</v>
      </c>
      <c r="F23" s="572"/>
      <c r="G23" s="347">
        <f t="shared" si="3"/>
        <v>124</v>
      </c>
    </row>
    <row r="24" spans="3:7" x14ac:dyDescent="0.2">
      <c r="C24" s="443" t="s">
        <v>231</v>
      </c>
      <c r="D24" s="444">
        <v>140</v>
      </c>
      <c r="E24" s="444">
        <v>70</v>
      </c>
      <c r="F24" s="572"/>
      <c r="G24" s="347">
        <f t="shared" si="3"/>
        <v>210</v>
      </c>
    </row>
    <row r="25" spans="3:7" x14ac:dyDescent="0.2">
      <c r="C25" s="443" t="s">
        <v>227</v>
      </c>
      <c r="D25" s="444">
        <v>144</v>
      </c>
      <c r="E25" s="444">
        <v>105</v>
      </c>
      <c r="F25" s="444">
        <v>13</v>
      </c>
      <c r="G25" s="347">
        <f t="shared" si="3"/>
        <v>262</v>
      </c>
    </row>
    <row r="26" spans="3:7" x14ac:dyDescent="0.2">
      <c r="C26" s="443" t="s">
        <v>228</v>
      </c>
      <c r="D26" s="444">
        <v>86</v>
      </c>
      <c r="E26" s="444">
        <v>125</v>
      </c>
      <c r="F26" s="444">
        <v>135</v>
      </c>
      <c r="G26" s="347">
        <f t="shared" si="3"/>
        <v>346</v>
      </c>
    </row>
    <row r="27" spans="3:7" x14ac:dyDescent="0.2">
      <c r="C27" s="443" t="s">
        <v>230</v>
      </c>
      <c r="D27" s="444"/>
      <c r="E27" s="444">
        <v>17</v>
      </c>
      <c r="F27" s="444">
        <v>6</v>
      </c>
      <c r="G27" s="347">
        <f t="shared" si="3"/>
        <v>23</v>
      </c>
    </row>
    <row r="28" spans="3:7" x14ac:dyDescent="0.2">
      <c r="C28" s="438" t="s">
        <v>24</v>
      </c>
      <c r="D28" s="347">
        <f>SUM(D22:D27)</f>
        <v>480</v>
      </c>
      <c r="E28" s="347">
        <f t="shared" ref="E28:F28" si="4">SUM(E22:E27)</f>
        <v>353</v>
      </c>
      <c r="F28" s="347">
        <f t="shared" si="4"/>
        <v>154</v>
      </c>
      <c r="G28" s="347">
        <f t="shared" si="3"/>
        <v>987</v>
      </c>
    </row>
    <row r="29" spans="3:7" x14ac:dyDescent="0.2">
      <c r="C29" s="414"/>
      <c r="D29" s="414"/>
      <c r="E29" s="414"/>
      <c r="F29" s="414"/>
      <c r="G29" s="414"/>
    </row>
    <row r="30" spans="3:7" x14ac:dyDescent="0.2">
      <c r="C30" s="612" t="s">
        <v>226</v>
      </c>
      <c r="D30" s="614" t="s">
        <v>25</v>
      </c>
      <c r="E30" s="614"/>
      <c r="F30" s="614"/>
      <c r="G30" s="614"/>
    </row>
    <row r="31" spans="3:7" ht="38.25" x14ac:dyDescent="0.2">
      <c r="C31" s="613"/>
      <c r="D31" s="570" t="s">
        <v>235</v>
      </c>
      <c r="E31" s="570" t="s">
        <v>234</v>
      </c>
      <c r="F31" s="570" t="s">
        <v>355</v>
      </c>
      <c r="G31" s="571" t="s">
        <v>236</v>
      </c>
    </row>
    <row r="32" spans="3:7" x14ac:dyDescent="0.2">
      <c r="C32" s="443" t="s">
        <v>233</v>
      </c>
      <c r="D32" s="444">
        <v>22</v>
      </c>
      <c r="E32" s="444"/>
      <c r="F32" s="572"/>
      <c r="G32" s="347">
        <f t="shared" ref="G32:G38" si="5">SUM(D32:F32)</f>
        <v>22</v>
      </c>
    </row>
    <row r="33" spans="2:7" x14ac:dyDescent="0.2">
      <c r="C33" s="443" t="s">
        <v>232</v>
      </c>
      <c r="D33" s="444">
        <v>83</v>
      </c>
      <c r="E33" s="444">
        <v>17</v>
      </c>
      <c r="F33" s="572"/>
      <c r="G33" s="347">
        <f t="shared" si="5"/>
        <v>100</v>
      </c>
    </row>
    <row r="34" spans="2:7" x14ac:dyDescent="0.2">
      <c r="C34" s="443" t="s">
        <v>231</v>
      </c>
      <c r="D34" s="444">
        <v>172</v>
      </c>
      <c r="E34" s="444">
        <v>64</v>
      </c>
      <c r="F34" s="572"/>
      <c r="G34" s="347">
        <f t="shared" si="5"/>
        <v>236</v>
      </c>
    </row>
    <row r="35" spans="2:7" x14ac:dyDescent="0.2">
      <c r="C35" s="443" t="s">
        <v>227</v>
      </c>
      <c r="D35" s="444">
        <v>175</v>
      </c>
      <c r="E35" s="444">
        <v>96</v>
      </c>
      <c r="F35" s="444">
        <v>10</v>
      </c>
      <c r="G35" s="347">
        <f t="shared" si="5"/>
        <v>281</v>
      </c>
    </row>
    <row r="36" spans="2:7" x14ac:dyDescent="0.2">
      <c r="C36" s="443" t="s">
        <v>228</v>
      </c>
      <c r="D36" s="444">
        <v>116</v>
      </c>
      <c r="E36" s="444">
        <v>153</v>
      </c>
      <c r="F36" s="444">
        <v>128</v>
      </c>
      <c r="G36" s="347">
        <f t="shared" si="5"/>
        <v>397</v>
      </c>
    </row>
    <row r="37" spans="2:7" x14ac:dyDescent="0.2">
      <c r="C37" s="443" t="s">
        <v>230</v>
      </c>
      <c r="D37" s="444">
        <v>1</v>
      </c>
      <c r="E37" s="444">
        <v>21</v>
      </c>
      <c r="F37" s="444">
        <v>11</v>
      </c>
      <c r="G37" s="347">
        <f t="shared" si="5"/>
        <v>33</v>
      </c>
    </row>
    <row r="38" spans="2:7" x14ac:dyDescent="0.2">
      <c r="C38" s="438" t="s">
        <v>24</v>
      </c>
      <c r="D38" s="347">
        <f>SUM(D32:D37)</f>
        <v>569</v>
      </c>
      <c r="E38" s="347">
        <f>SUM(E32:E37)</f>
        <v>351</v>
      </c>
      <c r="F38" s="347">
        <f>SUM(F32:F37)</f>
        <v>149</v>
      </c>
      <c r="G38" s="347">
        <f t="shared" si="5"/>
        <v>1069</v>
      </c>
    </row>
    <row r="39" spans="2:7" x14ac:dyDescent="0.2">
      <c r="C39" s="414"/>
      <c r="D39" s="414"/>
      <c r="E39" s="414"/>
      <c r="F39" s="414"/>
      <c r="G39" s="414"/>
    </row>
    <row r="40" spans="2:7" ht="15" x14ac:dyDescent="0.25">
      <c r="B40" s="282" t="s">
        <v>310</v>
      </c>
    </row>
    <row r="41" spans="2:7" x14ac:dyDescent="0.2">
      <c r="B41" s="382"/>
      <c r="C41" s="435"/>
    </row>
    <row r="42" spans="2:7" ht="12.75" customHeight="1" x14ac:dyDescent="0.2">
      <c r="B42" s="436"/>
      <c r="C42" s="436"/>
    </row>
    <row r="43" spans="2:7" ht="12.75" customHeight="1" x14ac:dyDescent="0.2">
      <c r="B43" s="436"/>
      <c r="C43" s="436"/>
    </row>
    <row r="44" spans="2:7" s="280" customFormat="1" ht="9" customHeight="1" x14ac:dyDescent="0.2"/>
    <row r="45" spans="2:7" x14ac:dyDescent="0.2">
      <c r="B45" s="560"/>
      <c r="C45" s="560"/>
    </row>
  </sheetData>
  <mergeCells count="8">
    <mergeCell ref="C30:C31"/>
    <mergeCell ref="D30:G30"/>
    <mergeCell ref="I2:L2"/>
    <mergeCell ref="D10:G10"/>
    <mergeCell ref="C10:C11"/>
    <mergeCell ref="B6:K6"/>
    <mergeCell ref="C20:C21"/>
    <mergeCell ref="D20:G20"/>
  </mergeCells>
  <pageMargins left="0.7" right="0.7" top="0.75" bottom="0.75" header="0.3" footer="0.3"/>
  <pageSetup scale="70" orientation="portrait" r:id="rId1"/>
  <colBreaks count="1" manualBreakCount="1">
    <brk id="13" max="44" man="1"/>
  </colBreaks>
  <drawing r:id="rId2"/>
  <legacyDrawing r:id="rId3"/>
  <oleObjects>
    <mc:AlternateContent xmlns:mc="http://schemas.openxmlformats.org/markup-compatibility/2006">
      <mc:Choice Requires="x14">
        <oleObject progId="MSPhotoEd.3" shapeId="3481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228600</xdr:colOff>
                <xdr:row>2</xdr:row>
                <xdr:rowOff>66675</xdr:rowOff>
              </to>
            </anchor>
          </objectPr>
        </oleObject>
      </mc:Choice>
      <mc:Fallback>
        <oleObject progId="MSPhotoEd.3" shapeId="348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 tint="0.59999389629810485"/>
    <pageSetUpPr fitToPage="1"/>
  </sheetPr>
  <dimension ref="B2:BH183"/>
  <sheetViews>
    <sheetView topLeftCell="B1" zoomScaleNormal="100" zoomScaleSheetLayoutView="100" workbookViewId="0">
      <selection activeCell="M4" sqref="M4"/>
    </sheetView>
  </sheetViews>
  <sheetFormatPr defaultRowHeight="12.75" x14ac:dyDescent="0.2"/>
  <cols>
    <col min="1" max="1" width="9.140625" style="29"/>
    <col min="2" max="2" width="8.140625" style="29" customWidth="1"/>
    <col min="3" max="3" width="9.42578125" style="29" customWidth="1"/>
    <col min="4" max="4" width="1.7109375" style="29" customWidth="1"/>
    <col min="5" max="5" width="15.28515625" style="29" customWidth="1"/>
    <col min="6" max="7" width="9.28515625" style="29" bestFit="1" customWidth="1"/>
    <col min="8" max="8" width="10.5703125" style="29" customWidth="1"/>
    <col min="9" max="9" width="9.28515625" style="349" bestFit="1" customWidth="1"/>
    <col min="10" max="10" width="11.7109375" style="29" customWidth="1"/>
    <col min="11" max="11" width="2.42578125" style="29" customWidth="1"/>
    <col min="12" max="12" width="9.140625" style="29"/>
    <col min="13" max="13" width="10.140625" style="29" customWidth="1"/>
    <col min="14" max="14" width="9.28515625" style="29" bestFit="1" customWidth="1"/>
    <col min="15" max="16384" width="9.140625" style="29"/>
  </cols>
  <sheetData>
    <row r="2" spans="2:16" x14ac:dyDescent="0.2">
      <c r="J2" s="604" t="s">
        <v>340</v>
      </c>
      <c r="K2" s="604"/>
      <c r="L2" s="604"/>
      <c r="M2" s="604"/>
    </row>
    <row r="4" spans="2:16" ht="15" x14ac:dyDescent="0.25">
      <c r="J4" s="563"/>
      <c r="K4" s="280"/>
    </row>
    <row r="5" spans="2:16" ht="9" customHeight="1" x14ac:dyDescent="0.2"/>
    <row r="6" spans="2:16" x14ac:dyDescent="0.2">
      <c r="I6" s="29"/>
      <c r="P6" s="154"/>
    </row>
    <row r="7" spans="2:16" ht="15.75" x14ac:dyDescent="0.25"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558"/>
      <c r="P7" s="154"/>
    </row>
    <row r="8" spans="2:16" ht="15.75" x14ac:dyDescent="0.25">
      <c r="D8" s="558"/>
      <c r="E8" s="558"/>
      <c r="F8" s="558"/>
      <c r="G8" s="558"/>
      <c r="H8" s="558"/>
      <c r="I8" s="558"/>
      <c r="J8" s="558"/>
      <c r="K8" s="558"/>
      <c r="L8" s="558"/>
      <c r="M8" s="558"/>
      <c r="P8" s="154"/>
    </row>
    <row r="9" spans="2:16" ht="12.75" customHeight="1" x14ac:dyDescent="0.2"/>
    <row r="10" spans="2:16" s="280" customFormat="1" ht="15" x14ac:dyDescent="0.25">
      <c r="B10" s="461" t="s">
        <v>206</v>
      </c>
      <c r="C10" s="615" t="s">
        <v>360</v>
      </c>
      <c r="D10" s="615"/>
      <c r="E10" s="615"/>
      <c r="F10" s="615"/>
      <c r="G10" s="615"/>
      <c r="H10" s="615"/>
      <c r="I10" s="615"/>
      <c r="J10" s="615"/>
      <c r="K10" s="615"/>
      <c r="L10" s="615"/>
      <c r="M10" s="615"/>
    </row>
    <row r="11" spans="2:16" ht="11.25" customHeight="1" x14ac:dyDescent="0.2"/>
    <row r="12" spans="2:16" ht="13.5" customHeight="1" x14ac:dyDescent="0.2">
      <c r="K12" s="428" t="s">
        <v>247</v>
      </c>
    </row>
    <row r="13" spans="2:16" ht="14.25" x14ac:dyDescent="0.2">
      <c r="E13" s="573"/>
      <c r="F13" s="574" t="s">
        <v>201</v>
      </c>
      <c r="G13" s="483" t="s">
        <v>1</v>
      </c>
      <c r="H13" s="574" t="s">
        <v>220</v>
      </c>
      <c r="I13" s="574" t="s">
        <v>3</v>
      </c>
      <c r="J13" s="574" t="s">
        <v>202</v>
      </c>
      <c r="K13" s="573"/>
    </row>
    <row r="14" spans="2:16" hidden="1" x14ac:dyDescent="0.2">
      <c r="C14" s="400">
        <v>2006</v>
      </c>
      <c r="D14" s="400"/>
      <c r="E14" s="154" t="s">
        <v>4</v>
      </c>
      <c r="F14" s="332">
        <v>41</v>
      </c>
      <c r="G14" s="329">
        <v>2274</v>
      </c>
      <c r="H14" s="329">
        <v>2119</v>
      </c>
      <c r="I14" s="361">
        <f>SUM(F14:H14)</f>
        <v>4434</v>
      </c>
      <c r="J14" s="329">
        <v>18</v>
      </c>
      <c r="K14" s="49"/>
      <c r="N14" s="575"/>
      <c r="P14" s="576"/>
    </row>
    <row r="15" spans="2:16" hidden="1" x14ac:dyDescent="0.2">
      <c r="C15" s="49"/>
      <c r="D15" s="49"/>
      <c r="E15" s="154" t="s">
        <v>5</v>
      </c>
      <c r="F15" s="332">
        <v>292</v>
      </c>
      <c r="G15" s="329">
        <v>1187</v>
      </c>
      <c r="H15" s="329">
        <v>973</v>
      </c>
      <c r="I15" s="361">
        <f>SUM(F15:H15)</f>
        <v>2452</v>
      </c>
      <c r="J15" s="329">
        <v>11</v>
      </c>
      <c r="K15" s="49"/>
      <c r="N15" s="575"/>
      <c r="P15" s="576"/>
    </row>
    <row r="16" spans="2:16" hidden="1" x14ac:dyDescent="0.2">
      <c r="C16" s="49"/>
      <c r="D16" s="49"/>
      <c r="E16" s="349" t="s">
        <v>6</v>
      </c>
      <c r="F16" s="422">
        <f>IF(SUM(F14:F15)&lt;&gt;SUM(F17:F18),"ERROR",SUM(F17:F18))</f>
        <v>333</v>
      </c>
      <c r="G16" s="422">
        <f>IF(SUM(G14:G15)&lt;&gt;SUM(G17:G18),"ERROR",SUM(G17:G18))</f>
        <v>3461</v>
      </c>
      <c r="H16" s="422">
        <f>IF(SUM(H14:H15)&lt;&gt;SUM(H17:H18),"ERROR",SUM(H17:H18))</f>
        <v>3092</v>
      </c>
      <c r="I16" s="422">
        <f>IF(SUM(I14:I15)&lt;&gt;SUM(I17:I18),"ERROR",SUM(I17:I18))</f>
        <v>6886</v>
      </c>
      <c r="J16" s="577">
        <f>SUM(J14:J15)</f>
        <v>29</v>
      </c>
      <c r="K16" s="49"/>
      <c r="N16" s="575"/>
      <c r="P16" s="576"/>
    </row>
    <row r="17" spans="2:16" hidden="1" x14ac:dyDescent="0.2">
      <c r="C17" s="49"/>
      <c r="D17" s="49"/>
      <c r="E17" s="154" t="s">
        <v>26</v>
      </c>
      <c r="F17" s="332">
        <v>171</v>
      </c>
      <c r="G17" s="329">
        <v>1670</v>
      </c>
      <c r="H17" s="329">
        <v>1489</v>
      </c>
      <c r="I17" s="361">
        <v>3556</v>
      </c>
      <c r="J17" s="332"/>
      <c r="K17" s="49"/>
      <c r="N17" s="575"/>
      <c r="P17" s="576"/>
    </row>
    <row r="18" spans="2:16" ht="14.25" hidden="1" x14ac:dyDescent="0.2">
      <c r="B18" s="402"/>
      <c r="C18" s="49"/>
      <c r="D18" s="49"/>
      <c r="E18" s="327" t="s">
        <v>25</v>
      </c>
      <c r="F18" s="332">
        <v>162</v>
      </c>
      <c r="G18" s="329">
        <v>1791</v>
      </c>
      <c r="H18" s="329">
        <v>1603</v>
      </c>
      <c r="I18" s="361">
        <v>3330</v>
      </c>
      <c r="J18" s="332"/>
      <c r="K18" s="49"/>
      <c r="N18" s="575"/>
      <c r="P18" s="576"/>
    </row>
    <row r="19" spans="2:16" ht="12.75" hidden="1" customHeight="1" x14ac:dyDescent="0.2">
      <c r="E19" s="327" t="s">
        <v>223</v>
      </c>
      <c r="F19" s="578">
        <f>F17/F18</f>
        <v>1.0555555555555556</v>
      </c>
      <c r="G19" s="578">
        <f>G17/G18</f>
        <v>0.93243997766610831</v>
      </c>
      <c r="H19" s="578">
        <f>H17/H18</f>
        <v>0.9288833437305053</v>
      </c>
      <c r="I19" s="579">
        <f>I17/I18</f>
        <v>1.0678678678678679</v>
      </c>
      <c r="J19" s="332"/>
      <c r="K19" s="49"/>
      <c r="N19" s="575"/>
      <c r="P19" s="576"/>
    </row>
    <row r="20" spans="2:16" ht="12.75" hidden="1" customHeight="1" x14ac:dyDescent="0.2">
      <c r="E20" s="327"/>
      <c r="F20" s="580"/>
      <c r="G20" s="580"/>
      <c r="H20" s="580"/>
      <c r="I20" s="581"/>
      <c r="J20" s="332"/>
      <c r="K20" s="49"/>
      <c r="N20" s="575"/>
      <c r="P20" s="576"/>
    </row>
    <row r="21" spans="2:16" hidden="1" x14ac:dyDescent="0.2">
      <c r="C21" s="400">
        <v>2007</v>
      </c>
      <c r="D21" s="400"/>
      <c r="E21" s="154" t="s">
        <v>4</v>
      </c>
      <c r="F21" s="332">
        <v>42</v>
      </c>
      <c r="G21" s="329">
        <v>2350</v>
      </c>
      <c r="H21" s="329">
        <v>2245</v>
      </c>
      <c r="I21" s="361">
        <f>SUM(F21:H21)</f>
        <v>4637</v>
      </c>
      <c r="J21" s="329">
        <v>17</v>
      </c>
      <c r="K21" s="582"/>
      <c r="N21" s="575"/>
      <c r="P21" s="576"/>
    </row>
    <row r="22" spans="2:16" hidden="1" x14ac:dyDescent="0.2">
      <c r="B22" s="582"/>
      <c r="C22" s="49"/>
      <c r="D22" s="49"/>
      <c r="E22" s="154" t="s">
        <v>5</v>
      </c>
      <c r="F22" s="332">
        <v>363</v>
      </c>
      <c r="G22" s="329">
        <v>1379</v>
      </c>
      <c r="H22" s="329">
        <v>950</v>
      </c>
      <c r="I22" s="361">
        <f>SUM(F22:H22)</f>
        <v>2692</v>
      </c>
      <c r="J22" s="329">
        <v>10</v>
      </c>
      <c r="K22" s="582"/>
      <c r="N22" s="575"/>
      <c r="P22" s="576"/>
    </row>
    <row r="23" spans="2:16" hidden="1" x14ac:dyDescent="0.2">
      <c r="C23" s="49"/>
      <c r="D23" s="49"/>
      <c r="E23" s="349" t="s">
        <v>6</v>
      </c>
      <c r="F23" s="422">
        <f>IF(SUM(F21:F22)&lt;&gt;SUM(F24:F25),"ERROR",SUM(F24:F25))</f>
        <v>405</v>
      </c>
      <c r="G23" s="422">
        <f>IF(SUM(G21:G22)&lt;&gt;SUM(G24:G25),"ERROR",SUM(G24:G25))</f>
        <v>3729</v>
      </c>
      <c r="H23" s="422">
        <f>IF(SUM(H21:H22)&lt;&gt;SUM(H24:H25),"ERROR",SUM(H24:H25))</f>
        <v>3195</v>
      </c>
      <c r="I23" s="422">
        <f>IF(SUM(I21:I22)&lt;&gt;SUM(I24:I25),"ERROR",SUM(I24:I25))</f>
        <v>7329</v>
      </c>
      <c r="J23" s="361">
        <f>SUM(J21:J22)</f>
        <v>27</v>
      </c>
      <c r="N23" s="564"/>
      <c r="P23" s="576"/>
    </row>
    <row r="24" spans="2:16" hidden="1" x14ac:dyDescent="0.2">
      <c r="C24" s="49"/>
      <c r="D24" s="49"/>
      <c r="E24" s="154" t="s">
        <v>26</v>
      </c>
      <c r="F24" s="332">
        <v>208</v>
      </c>
      <c r="G24" s="329">
        <v>1779</v>
      </c>
      <c r="H24" s="329">
        <v>1590</v>
      </c>
      <c r="I24" s="361">
        <v>3752</v>
      </c>
      <c r="J24" s="332"/>
      <c r="K24" s="583"/>
      <c r="L24" s="583"/>
      <c r="N24" s="575"/>
      <c r="P24" s="576"/>
    </row>
    <row r="25" spans="2:16" ht="14.25" hidden="1" customHeight="1" x14ac:dyDescent="0.2">
      <c r="C25" s="49"/>
      <c r="D25" s="49"/>
      <c r="E25" s="327" t="s">
        <v>25</v>
      </c>
      <c r="F25" s="332">
        <v>197</v>
      </c>
      <c r="G25" s="329">
        <v>1950</v>
      </c>
      <c r="H25" s="329">
        <v>1605</v>
      </c>
      <c r="I25" s="361">
        <v>3577</v>
      </c>
      <c r="J25" s="332"/>
      <c r="K25" s="49"/>
      <c r="N25" s="575"/>
      <c r="P25" s="576"/>
    </row>
    <row r="26" spans="2:16" ht="12.75" hidden="1" customHeight="1" x14ac:dyDescent="0.2">
      <c r="C26" s="49"/>
      <c r="D26" s="49"/>
      <c r="E26" s="327" t="s">
        <v>223</v>
      </c>
      <c r="F26" s="336">
        <f>F24/F25</f>
        <v>1.0558375634517767</v>
      </c>
      <c r="G26" s="336">
        <f>G24/G25</f>
        <v>0.91230769230769226</v>
      </c>
      <c r="H26" s="336">
        <f>H24/H25</f>
        <v>0.99065420560747663</v>
      </c>
      <c r="I26" s="579">
        <f>I24/I25</f>
        <v>1.0489236790606653</v>
      </c>
      <c r="J26" s="332"/>
      <c r="K26" s="49"/>
      <c r="N26" s="575"/>
      <c r="P26" s="576"/>
    </row>
    <row r="27" spans="2:16" ht="12.75" hidden="1" customHeight="1" x14ac:dyDescent="0.2">
      <c r="C27" s="49"/>
      <c r="D27" s="49"/>
      <c r="E27" s="327"/>
      <c r="F27" s="332"/>
      <c r="G27" s="329"/>
      <c r="H27" s="329"/>
      <c r="I27" s="361"/>
      <c r="J27" s="332"/>
      <c r="K27" s="49"/>
      <c r="N27" s="575"/>
      <c r="P27" s="576"/>
    </row>
    <row r="28" spans="2:16" ht="14.25" hidden="1" x14ac:dyDescent="0.2">
      <c r="C28" s="400">
        <v>2008</v>
      </c>
      <c r="D28" s="402"/>
      <c r="E28" s="154" t="s">
        <v>4</v>
      </c>
      <c r="F28" s="332">
        <v>34</v>
      </c>
      <c r="G28" s="329">
        <v>2283</v>
      </c>
      <c r="H28" s="329">
        <v>2262</v>
      </c>
      <c r="I28" s="361">
        <f>SUM(F28:H28)</f>
        <v>4579</v>
      </c>
      <c r="J28" s="329">
        <v>16</v>
      </c>
      <c r="K28" s="49"/>
      <c r="N28" s="575"/>
      <c r="P28" s="576"/>
    </row>
    <row r="29" spans="2:16" hidden="1" x14ac:dyDescent="0.2">
      <c r="C29" s="49"/>
      <c r="D29" s="49"/>
      <c r="E29" s="154" t="s">
        <v>5</v>
      </c>
      <c r="F29" s="332">
        <v>347</v>
      </c>
      <c r="G29" s="329">
        <v>1455</v>
      </c>
      <c r="H29" s="329">
        <v>1131</v>
      </c>
      <c r="I29" s="361">
        <f>SUM(F29:H29)</f>
        <v>2933</v>
      </c>
      <c r="J29" s="329">
        <v>10</v>
      </c>
      <c r="K29" s="49"/>
      <c r="N29" s="575"/>
      <c r="P29" s="576"/>
    </row>
    <row r="30" spans="2:16" s="349" customFormat="1" hidden="1" x14ac:dyDescent="0.2">
      <c r="C30" s="400"/>
      <c r="D30" s="400"/>
      <c r="E30" s="349" t="s">
        <v>6</v>
      </c>
      <c r="F30" s="422">
        <f>IF(SUM(F28:F29)&lt;&gt;SUM(F31:F32),"ERROR",SUM(F31:F32))</f>
        <v>381</v>
      </c>
      <c r="G30" s="422">
        <f>IF(SUM(G28:G29)&lt;&gt;SUM(G31:G32),"ERROR",SUM(G31:G32))</f>
        <v>3738</v>
      </c>
      <c r="H30" s="422">
        <f>IF(SUM(H28:H29)&lt;&gt;SUM(H31:H32),"ERROR",SUM(H31:H32))</f>
        <v>3393</v>
      </c>
      <c r="I30" s="422">
        <f>IF(SUM(I28:I29)&lt;&gt;SUM(I31:I32),"ERROR",SUM(I31:I32))</f>
        <v>7512</v>
      </c>
      <c r="J30" s="361">
        <f>SUM(J28:J29)</f>
        <v>26</v>
      </c>
      <c r="K30" s="400"/>
      <c r="N30" s="584"/>
      <c r="P30" s="585"/>
    </row>
    <row r="31" spans="2:16" hidden="1" x14ac:dyDescent="0.2">
      <c r="C31" s="49"/>
      <c r="D31" s="49"/>
      <c r="E31" s="154" t="s">
        <v>26</v>
      </c>
      <c r="F31" s="332">
        <v>173</v>
      </c>
      <c r="G31" s="329">
        <v>1839</v>
      </c>
      <c r="H31" s="329">
        <v>1693</v>
      </c>
      <c r="I31" s="361">
        <v>3705</v>
      </c>
      <c r="J31" s="332"/>
      <c r="K31" s="49"/>
      <c r="L31" s="586"/>
      <c r="N31" s="575"/>
      <c r="P31" s="576"/>
    </row>
    <row r="32" spans="2:16" hidden="1" x14ac:dyDescent="0.2">
      <c r="C32" s="49"/>
      <c r="D32" s="49"/>
      <c r="E32" s="327" t="s">
        <v>25</v>
      </c>
      <c r="F32" s="332">
        <v>208</v>
      </c>
      <c r="G32" s="329">
        <v>1899</v>
      </c>
      <c r="H32" s="329">
        <v>1700</v>
      </c>
      <c r="I32" s="361">
        <v>3807</v>
      </c>
      <c r="J32" s="332"/>
      <c r="K32" s="49"/>
      <c r="L32" s="586"/>
      <c r="N32" s="575"/>
      <c r="P32" s="576"/>
    </row>
    <row r="33" spans="3:16" ht="12.75" hidden="1" customHeight="1" x14ac:dyDescent="0.2">
      <c r="C33" s="49"/>
      <c r="D33" s="49"/>
      <c r="E33" s="327" t="s">
        <v>223</v>
      </c>
      <c r="F33" s="336">
        <f>F31/F32</f>
        <v>0.83173076923076927</v>
      </c>
      <c r="G33" s="336">
        <f>G31/G32</f>
        <v>0.96840442338072674</v>
      </c>
      <c r="H33" s="336">
        <f>H31/H32</f>
        <v>0.99588235294117644</v>
      </c>
      <c r="I33" s="579">
        <f>I31/I32</f>
        <v>0.97320724980299445</v>
      </c>
      <c r="J33" s="332"/>
      <c r="K33" s="49"/>
      <c r="N33" s="575"/>
      <c r="P33" s="576"/>
    </row>
    <row r="34" spans="3:16" ht="12.75" hidden="1" customHeight="1" x14ac:dyDescent="0.2">
      <c r="C34" s="49"/>
      <c r="D34" s="49"/>
      <c r="E34" s="327"/>
      <c r="F34" s="332"/>
      <c r="G34" s="329"/>
      <c r="H34" s="329"/>
      <c r="I34" s="361"/>
      <c r="J34" s="332"/>
      <c r="K34" s="49"/>
      <c r="N34" s="575"/>
      <c r="P34" s="576"/>
    </row>
    <row r="35" spans="3:16" hidden="1" x14ac:dyDescent="0.2">
      <c r="C35" s="400">
        <v>2009</v>
      </c>
      <c r="D35" s="49"/>
      <c r="E35" s="154" t="s">
        <v>4</v>
      </c>
      <c r="F35" s="332">
        <v>51</v>
      </c>
      <c r="G35" s="329">
        <v>2378</v>
      </c>
      <c r="H35" s="329">
        <v>2283</v>
      </c>
      <c r="I35" s="361">
        <v>4712</v>
      </c>
      <c r="J35" s="332">
        <v>16</v>
      </c>
      <c r="K35" s="49"/>
      <c r="N35" s="575"/>
      <c r="P35" s="576"/>
    </row>
    <row r="36" spans="3:16" hidden="1" x14ac:dyDescent="0.2">
      <c r="C36" s="49"/>
      <c r="D36" s="49"/>
      <c r="E36" s="154" t="s">
        <v>5</v>
      </c>
      <c r="F36" s="332">
        <v>357</v>
      </c>
      <c r="G36" s="329">
        <v>1481</v>
      </c>
      <c r="H36" s="329">
        <v>1138</v>
      </c>
      <c r="I36" s="361">
        <v>2976</v>
      </c>
      <c r="J36" s="332">
        <v>10</v>
      </c>
      <c r="K36" s="49"/>
      <c r="N36" s="575"/>
      <c r="P36" s="576"/>
    </row>
    <row r="37" spans="3:16" s="349" customFormat="1" hidden="1" x14ac:dyDescent="0.2">
      <c r="C37" s="400"/>
      <c r="D37" s="400"/>
      <c r="E37" s="349" t="s">
        <v>6</v>
      </c>
      <c r="F37" s="577">
        <f>IF(SUM(F35:F36)&lt;&gt;SUM(F38:F39),"ERROR",SUM(F38:F39))</f>
        <v>408</v>
      </c>
      <c r="G37" s="361">
        <f>IF(SUM(G35:G36)&lt;&gt;SUM(G38:G39),"ERROR",SUM(G38:G39))</f>
        <v>3859</v>
      </c>
      <c r="H37" s="361">
        <f>IF(SUM(H35:H36)&lt;&gt;SUM(H38:H39),"ERROR",SUM(H38:H39))</f>
        <v>3421</v>
      </c>
      <c r="I37" s="361">
        <f>IF(SUM(I35:I36)&lt;&gt;SUM(I38:I39),"ERROR",SUM(I38:I39))</f>
        <v>7688</v>
      </c>
      <c r="J37" s="577">
        <f>SUM(J35:J36)</f>
        <v>26</v>
      </c>
      <c r="K37" s="400"/>
      <c r="N37" s="584"/>
      <c r="P37" s="585"/>
    </row>
    <row r="38" spans="3:16" hidden="1" x14ac:dyDescent="0.2">
      <c r="C38" s="49"/>
      <c r="D38" s="49"/>
      <c r="E38" s="154" t="s">
        <v>26</v>
      </c>
      <c r="F38" s="332">
        <v>203</v>
      </c>
      <c r="G38" s="329">
        <v>1902</v>
      </c>
      <c r="H38" s="329">
        <v>1771</v>
      </c>
      <c r="I38" s="361">
        <f>SUM(F38:H38)</f>
        <v>3876</v>
      </c>
      <c r="J38" s="332"/>
      <c r="K38" s="49"/>
      <c r="N38" s="575"/>
      <c r="P38" s="576"/>
    </row>
    <row r="39" spans="3:16" hidden="1" x14ac:dyDescent="0.2">
      <c r="C39" s="49"/>
      <c r="D39" s="49"/>
      <c r="E39" s="327" t="s">
        <v>25</v>
      </c>
      <c r="F39" s="332">
        <v>205</v>
      </c>
      <c r="G39" s="329">
        <v>1957</v>
      </c>
      <c r="H39" s="329">
        <v>1650</v>
      </c>
      <c r="I39" s="361">
        <f>SUM(F39:H39)</f>
        <v>3812</v>
      </c>
      <c r="J39" s="332"/>
      <c r="K39" s="49"/>
      <c r="N39" s="575"/>
      <c r="P39" s="576"/>
    </row>
    <row r="40" spans="3:16" hidden="1" x14ac:dyDescent="0.2">
      <c r="C40" s="49"/>
      <c r="D40" s="49"/>
      <c r="E40" s="333" t="s">
        <v>223</v>
      </c>
      <c r="F40" s="335">
        <f>F38/F39</f>
        <v>0.99024390243902438</v>
      </c>
      <c r="G40" s="335">
        <f>G38/G39</f>
        <v>0.97189575881451196</v>
      </c>
      <c r="H40" s="335">
        <f>H38/H39</f>
        <v>1.0733333333333333</v>
      </c>
      <c r="I40" s="587">
        <f>I38/I39</f>
        <v>1.0167890870933893</v>
      </c>
      <c r="J40" s="334"/>
      <c r="K40" s="49"/>
      <c r="N40" s="575"/>
      <c r="P40" s="576"/>
    </row>
    <row r="41" spans="3:16" hidden="1" x14ac:dyDescent="0.2">
      <c r="C41" s="49"/>
      <c r="D41" s="49"/>
      <c r="E41" s="327"/>
      <c r="F41" s="332"/>
      <c r="G41" s="329"/>
      <c r="H41" s="329"/>
      <c r="I41" s="361"/>
      <c r="J41" s="332"/>
      <c r="K41" s="49"/>
      <c r="N41" s="575"/>
      <c r="P41" s="576"/>
    </row>
    <row r="42" spans="3:16" hidden="1" x14ac:dyDescent="0.2">
      <c r="C42" s="400">
        <v>2010</v>
      </c>
      <c r="D42" s="49"/>
      <c r="E42" s="154" t="s">
        <v>4</v>
      </c>
      <c r="F42" s="332">
        <v>87</v>
      </c>
      <c r="G42" s="329">
        <v>2466</v>
      </c>
      <c r="H42" s="329">
        <v>2309</v>
      </c>
      <c r="I42" s="361">
        <f>SUM(F42:H42)</f>
        <v>4862</v>
      </c>
      <c r="J42" s="588">
        <v>16</v>
      </c>
      <c r="K42" s="49"/>
      <c r="N42" s="575"/>
      <c r="P42" s="576"/>
    </row>
    <row r="43" spans="3:16" hidden="1" x14ac:dyDescent="0.2">
      <c r="C43" s="49"/>
      <c r="D43" s="49"/>
      <c r="E43" s="154" t="s">
        <v>5</v>
      </c>
      <c r="F43" s="332">
        <v>300</v>
      </c>
      <c r="G43" s="329">
        <v>1477</v>
      </c>
      <c r="H43" s="329">
        <v>1104</v>
      </c>
      <c r="I43" s="361">
        <f>SUM(F43:H43)</f>
        <v>2881</v>
      </c>
      <c r="J43" s="332">
        <v>10</v>
      </c>
      <c r="K43" s="49"/>
      <c r="N43" s="575"/>
      <c r="P43" s="576"/>
    </row>
    <row r="44" spans="3:16" s="349" customFormat="1" hidden="1" x14ac:dyDescent="0.2">
      <c r="C44" s="400"/>
      <c r="D44" s="400"/>
      <c r="E44" s="349" t="s">
        <v>6</v>
      </c>
      <c r="F44" s="577">
        <v>379</v>
      </c>
      <c r="G44" s="361">
        <v>3897</v>
      </c>
      <c r="H44" s="361">
        <v>3391</v>
      </c>
      <c r="I44" s="361">
        <f>SUM(F44:H44)</f>
        <v>7667</v>
      </c>
      <c r="J44" s="589">
        <v>25</v>
      </c>
      <c r="K44" s="400"/>
      <c r="N44" s="584"/>
      <c r="P44" s="585"/>
    </row>
    <row r="45" spans="3:16" hidden="1" x14ac:dyDescent="0.2">
      <c r="C45" s="49"/>
      <c r="D45" s="49"/>
      <c r="E45" s="154" t="s">
        <v>26</v>
      </c>
      <c r="F45" s="332">
        <v>175</v>
      </c>
      <c r="G45" s="329">
        <v>1995</v>
      </c>
      <c r="H45" s="329">
        <v>1686</v>
      </c>
      <c r="I45" s="361">
        <f>SUM(F45:H45)</f>
        <v>3856</v>
      </c>
      <c r="J45" s="332"/>
      <c r="K45" s="49"/>
      <c r="N45" s="575"/>
      <c r="P45" s="576"/>
    </row>
    <row r="46" spans="3:16" hidden="1" x14ac:dyDescent="0.2">
      <c r="C46" s="49"/>
      <c r="D46" s="49"/>
      <c r="E46" s="327" t="s">
        <v>25</v>
      </c>
      <c r="F46" s="332">
        <v>204</v>
      </c>
      <c r="G46" s="329">
        <v>1902</v>
      </c>
      <c r="H46" s="329">
        <v>1705</v>
      </c>
      <c r="I46" s="361">
        <f>SUM(F46:H46)</f>
        <v>3811</v>
      </c>
      <c r="J46" s="332"/>
      <c r="K46" s="49"/>
      <c r="N46" s="575"/>
      <c r="P46" s="576"/>
    </row>
    <row r="47" spans="3:16" hidden="1" x14ac:dyDescent="0.2">
      <c r="C47" s="49"/>
      <c r="D47" s="49"/>
      <c r="E47" s="333" t="s">
        <v>223</v>
      </c>
      <c r="F47" s="335">
        <f>F45/F46</f>
        <v>0.85784313725490191</v>
      </c>
      <c r="G47" s="335">
        <f>G45/G46</f>
        <v>1.0488958990536277</v>
      </c>
      <c r="H47" s="335">
        <f>H45/H46</f>
        <v>0.98885630498533728</v>
      </c>
      <c r="I47" s="587">
        <f>I45/I46</f>
        <v>1.0118079244292837</v>
      </c>
      <c r="J47" s="334"/>
      <c r="K47" s="49"/>
      <c r="N47" s="575"/>
    </row>
    <row r="48" spans="3:16" hidden="1" x14ac:dyDescent="0.2">
      <c r="C48" s="49"/>
      <c r="D48" s="49"/>
      <c r="E48" s="327"/>
      <c r="F48" s="332"/>
      <c r="G48" s="329"/>
      <c r="H48" s="329"/>
      <c r="I48" s="361"/>
      <c r="J48" s="332"/>
      <c r="K48" s="49"/>
      <c r="N48" s="575"/>
    </row>
    <row r="49" spans="3:14" hidden="1" x14ac:dyDescent="0.2">
      <c r="C49" s="400">
        <v>2011</v>
      </c>
      <c r="D49" s="49"/>
      <c r="E49" s="154" t="s">
        <v>4</v>
      </c>
      <c r="F49" s="330">
        <v>0</v>
      </c>
      <c r="G49" s="329">
        <v>2509</v>
      </c>
      <c r="H49" s="329">
        <v>2381</v>
      </c>
      <c r="I49" s="361">
        <f>SUM(F49:H49)</f>
        <v>4890</v>
      </c>
      <c r="J49" s="332">
        <v>17</v>
      </c>
      <c r="K49" s="49"/>
      <c r="N49" s="575"/>
    </row>
    <row r="50" spans="3:14" hidden="1" x14ac:dyDescent="0.2">
      <c r="C50" s="49"/>
      <c r="D50" s="49"/>
      <c r="E50" s="154" t="s">
        <v>5</v>
      </c>
      <c r="F50" s="330">
        <v>0</v>
      </c>
      <c r="G50" s="329">
        <v>1655</v>
      </c>
      <c r="H50" s="329">
        <v>1101</v>
      </c>
      <c r="I50" s="361">
        <f>SUM(F50:H50)</f>
        <v>2756</v>
      </c>
      <c r="J50" s="332">
        <v>11</v>
      </c>
      <c r="K50" s="49"/>
      <c r="N50" s="575"/>
    </row>
    <row r="51" spans="3:14" s="349" customFormat="1" hidden="1" x14ac:dyDescent="0.2">
      <c r="C51" s="400"/>
      <c r="D51" s="400"/>
      <c r="E51" s="349" t="s">
        <v>6</v>
      </c>
      <c r="F51" s="362">
        <v>0</v>
      </c>
      <c r="G51" s="361">
        <f>IF(SUM(G49:G50)&lt;&gt;SUM(G52:G53),"ERROR",SUM(G49:G50))</f>
        <v>4164</v>
      </c>
      <c r="H51" s="361">
        <f>IF(SUM(H49:H50)&lt;&gt;SUM(H52:H53),"ERROR",SUM(H49:H50))</f>
        <v>3482</v>
      </c>
      <c r="I51" s="361">
        <f>IF(SUM(I49:I50)&lt;&gt;SUM(I52:I53),"ERROR",SUM(I49:I50))</f>
        <v>7646</v>
      </c>
      <c r="J51" s="577">
        <v>28</v>
      </c>
      <c r="K51" s="400"/>
      <c r="L51" s="590"/>
      <c r="N51" s="584"/>
    </row>
    <row r="52" spans="3:14" hidden="1" x14ac:dyDescent="0.2">
      <c r="C52" s="49"/>
      <c r="D52" s="49"/>
      <c r="E52" s="154" t="s">
        <v>26</v>
      </c>
      <c r="F52" s="330">
        <v>0</v>
      </c>
      <c r="G52" s="332">
        <v>2081</v>
      </c>
      <c r="H52" s="329">
        <v>1755</v>
      </c>
      <c r="I52" s="361">
        <f>SUM(F52:H52)</f>
        <v>3836</v>
      </c>
      <c r="J52" s="332"/>
      <c r="K52" s="49"/>
      <c r="N52" s="575"/>
    </row>
    <row r="53" spans="3:14" hidden="1" x14ac:dyDescent="0.2">
      <c r="C53" s="49"/>
      <c r="D53" s="49"/>
      <c r="E53" s="327" t="s">
        <v>25</v>
      </c>
      <c r="F53" s="565">
        <v>0</v>
      </c>
      <c r="G53" s="332">
        <v>2083</v>
      </c>
      <c r="H53" s="329">
        <v>1727</v>
      </c>
      <c r="I53" s="361">
        <f>SUM(F53:H53)</f>
        <v>3810</v>
      </c>
      <c r="J53" s="332"/>
      <c r="K53" s="49"/>
      <c r="N53" s="575"/>
    </row>
    <row r="54" spans="3:14" hidden="1" x14ac:dyDescent="0.2">
      <c r="C54" s="49"/>
      <c r="D54" s="49"/>
      <c r="E54" s="333" t="s">
        <v>223</v>
      </c>
      <c r="F54" s="530"/>
      <c r="G54" s="335">
        <f>G52/G53</f>
        <v>0.99903984637542009</v>
      </c>
      <c r="H54" s="335">
        <f>H52/H53</f>
        <v>1.0162130862767806</v>
      </c>
      <c r="I54" s="587">
        <f>I52/I53</f>
        <v>1.0068241469816273</v>
      </c>
      <c r="J54" s="334"/>
      <c r="K54" s="49"/>
      <c r="N54" s="575"/>
    </row>
    <row r="55" spans="3:14" hidden="1" x14ac:dyDescent="0.2">
      <c r="C55" s="49"/>
      <c r="D55" s="49"/>
      <c r="E55" s="327"/>
      <c r="F55" s="565"/>
      <c r="G55" s="332"/>
      <c r="H55" s="329"/>
      <c r="I55" s="361"/>
      <c r="J55" s="332"/>
      <c r="K55" s="49"/>
      <c r="N55" s="575"/>
    </row>
    <row r="56" spans="3:14" hidden="1" x14ac:dyDescent="0.2">
      <c r="C56" s="400">
        <v>2012</v>
      </c>
      <c r="D56" s="49"/>
      <c r="E56" s="327" t="s">
        <v>4</v>
      </c>
      <c r="F56" s="565">
        <v>0</v>
      </c>
      <c r="G56" s="329">
        <v>2426</v>
      </c>
      <c r="H56" s="329">
        <v>2530</v>
      </c>
      <c r="I56" s="361">
        <f>SUM(G56:H56)</f>
        <v>4956</v>
      </c>
      <c r="J56" s="332">
        <v>17</v>
      </c>
      <c r="K56" s="49"/>
      <c r="N56" s="575"/>
    </row>
    <row r="57" spans="3:14" hidden="1" x14ac:dyDescent="0.2">
      <c r="C57" s="49"/>
      <c r="D57" s="49"/>
      <c r="E57" s="154" t="s">
        <v>5</v>
      </c>
      <c r="F57" s="330">
        <v>0</v>
      </c>
      <c r="G57" s="329">
        <v>1537</v>
      </c>
      <c r="H57" s="329">
        <v>1250</v>
      </c>
      <c r="I57" s="361">
        <f>SUM(G57:H57)</f>
        <v>2787</v>
      </c>
      <c r="J57" s="332">
        <v>10</v>
      </c>
      <c r="K57" s="49"/>
      <c r="N57" s="575"/>
    </row>
    <row r="58" spans="3:14" s="349" customFormat="1" hidden="1" x14ac:dyDescent="0.2">
      <c r="C58" s="400"/>
      <c r="D58" s="400"/>
      <c r="E58" s="349" t="s">
        <v>6</v>
      </c>
      <c r="F58" s="362">
        <v>0</v>
      </c>
      <c r="G58" s="361">
        <f>IF(SUM(G56:G57)&lt;&gt;SUM(G59:G60),"ERROR",SUM(G56:G57))</f>
        <v>3963</v>
      </c>
      <c r="H58" s="361">
        <f>IF(SUM(H56:H57)&lt;&gt;SUM(H59:H60),"ERROR",SUM(H56:H57))</f>
        <v>3780</v>
      </c>
      <c r="I58" s="361">
        <f>IF(SUM(I56:I57)&lt;&gt;SUM(I59:I60),"ERROR",SUM(I56:I57))</f>
        <v>7743</v>
      </c>
      <c r="J58" s="577">
        <f>SUM(J56:J57)</f>
        <v>27</v>
      </c>
      <c r="K58" s="400"/>
      <c r="N58" s="584"/>
    </row>
    <row r="59" spans="3:14" hidden="1" x14ac:dyDescent="0.2">
      <c r="C59" s="49"/>
      <c r="D59" s="49"/>
      <c r="E59" s="154" t="s">
        <v>26</v>
      </c>
      <c r="F59" s="330">
        <v>0</v>
      </c>
      <c r="G59" s="332">
        <v>1968</v>
      </c>
      <c r="H59" s="329">
        <v>1899</v>
      </c>
      <c r="I59" s="361">
        <f>SUM(G59:H59)</f>
        <v>3867</v>
      </c>
      <c r="J59" s="332"/>
      <c r="K59" s="49"/>
      <c r="N59" s="575"/>
    </row>
    <row r="60" spans="3:14" hidden="1" x14ac:dyDescent="0.2">
      <c r="C60" s="49"/>
      <c r="D60" s="49"/>
      <c r="E60" s="327" t="s">
        <v>25</v>
      </c>
      <c r="F60" s="565">
        <v>0</v>
      </c>
      <c r="G60" s="332">
        <v>1995</v>
      </c>
      <c r="H60" s="329">
        <v>1881</v>
      </c>
      <c r="I60" s="361">
        <f>SUM(G60:H60)</f>
        <v>3876</v>
      </c>
      <c r="J60" s="332"/>
      <c r="K60" s="49"/>
      <c r="N60" s="575"/>
    </row>
    <row r="61" spans="3:14" hidden="1" x14ac:dyDescent="0.2">
      <c r="C61" s="49"/>
      <c r="D61" s="49"/>
      <c r="E61" s="333" t="s">
        <v>223</v>
      </c>
      <c r="F61" s="334"/>
      <c r="G61" s="591">
        <f>G59/G60</f>
        <v>0.98646616541353382</v>
      </c>
      <c r="H61" s="591">
        <f>H59/H60</f>
        <v>1.0095693779904307</v>
      </c>
      <c r="I61" s="592">
        <f>I59/I60</f>
        <v>0.99767801857585137</v>
      </c>
      <c r="J61" s="334"/>
      <c r="K61" s="49"/>
      <c r="N61" s="575"/>
    </row>
    <row r="62" spans="3:14" hidden="1" x14ac:dyDescent="0.2">
      <c r="C62" s="49"/>
      <c r="D62" s="49"/>
      <c r="E62" s="327"/>
      <c r="F62" s="332"/>
      <c r="G62" s="593"/>
      <c r="H62" s="593"/>
      <c r="I62" s="594"/>
      <c r="J62" s="332"/>
      <c r="K62" s="49"/>
      <c r="N62" s="575"/>
    </row>
    <row r="63" spans="3:14" hidden="1" x14ac:dyDescent="0.2">
      <c r="C63" s="400">
        <v>2013</v>
      </c>
      <c r="D63" s="49"/>
      <c r="E63" s="327" t="s">
        <v>4</v>
      </c>
      <c r="F63" s="565">
        <v>0</v>
      </c>
      <c r="G63" s="329">
        <v>2370</v>
      </c>
      <c r="H63" s="329">
        <v>2466</v>
      </c>
      <c r="I63" s="361">
        <f>SUM(G63:H63)</f>
        <v>4836</v>
      </c>
      <c r="J63" s="332">
        <v>17</v>
      </c>
      <c r="K63" s="49"/>
      <c r="N63" s="575"/>
    </row>
    <row r="64" spans="3:14" hidden="1" x14ac:dyDescent="0.2">
      <c r="C64" s="49"/>
      <c r="D64" s="49"/>
      <c r="E64" s="154" t="s">
        <v>5</v>
      </c>
      <c r="F64" s="330">
        <v>0</v>
      </c>
      <c r="G64" s="329">
        <v>1611</v>
      </c>
      <c r="H64" s="329">
        <v>1275</v>
      </c>
      <c r="I64" s="361">
        <f>SUM(G64:H64)</f>
        <v>2886</v>
      </c>
      <c r="J64" s="332">
        <v>11</v>
      </c>
      <c r="K64" s="49"/>
      <c r="N64" s="575"/>
    </row>
    <row r="65" spans="3:14" hidden="1" x14ac:dyDescent="0.2">
      <c r="C65" s="400"/>
      <c r="D65" s="400"/>
      <c r="E65" s="349" t="s">
        <v>6</v>
      </c>
      <c r="F65" s="362">
        <v>0</v>
      </c>
      <c r="G65" s="361">
        <f>SUM(G63,G64)</f>
        <v>3981</v>
      </c>
      <c r="H65" s="361">
        <f>SUM(H63,H64)</f>
        <v>3741</v>
      </c>
      <c r="I65" s="361">
        <f>SUM(I63,I64)</f>
        <v>7722</v>
      </c>
      <c r="J65" s="577">
        <f>SUM(J63:J64)</f>
        <v>28</v>
      </c>
      <c r="K65" s="49"/>
      <c r="N65" s="575"/>
    </row>
    <row r="66" spans="3:14" hidden="1" x14ac:dyDescent="0.2">
      <c r="C66" s="49"/>
      <c r="D66" s="49"/>
      <c r="E66" s="154" t="s">
        <v>26</v>
      </c>
      <c r="F66" s="330">
        <v>0</v>
      </c>
      <c r="G66" s="332">
        <v>1964</v>
      </c>
      <c r="H66" s="329">
        <v>1874</v>
      </c>
      <c r="I66" s="361">
        <f>SUM(G66:H66)</f>
        <v>3838</v>
      </c>
      <c r="J66" s="332"/>
      <c r="K66" s="49"/>
      <c r="N66" s="575"/>
    </row>
    <row r="67" spans="3:14" hidden="1" x14ac:dyDescent="0.2">
      <c r="C67" s="49"/>
      <c r="D67" s="49"/>
      <c r="E67" s="327" t="s">
        <v>25</v>
      </c>
      <c r="F67" s="565">
        <v>0</v>
      </c>
      <c r="G67" s="332">
        <v>2017</v>
      </c>
      <c r="H67" s="329">
        <v>1867</v>
      </c>
      <c r="I67" s="361">
        <f>SUM(G67:H67)</f>
        <v>3884</v>
      </c>
      <c r="J67" s="332"/>
      <c r="K67" s="49"/>
      <c r="N67" s="575"/>
    </row>
    <row r="68" spans="3:14" hidden="1" x14ac:dyDescent="0.2">
      <c r="C68" s="49"/>
      <c r="D68" s="49"/>
      <c r="E68" s="333" t="s">
        <v>223</v>
      </c>
      <c r="F68" s="334"/>
      <c r="G68" s="591">
        <f>G66/G67</f>
        <v>0.97372335151214673</v>
      </c>
      <c r="H68" s="591">
        <f>H66/H67</f>
        <v>1.0037493304767007</v>
      </c>
      <c r="I68" s="591">
        <f>I66/I67</f>
        <v>0.98815653964984551</v>
      </c>
      <c r="J68" s="334"/>
      <c r="K68" s="49"/>
      <c r="N68" s="575"/>
    </row>
    <row r="69" spans="3:14" hidden="1" x14ac:dyDescent="0.2">
      <c r="C69" s="49"/>
      <c r="D69" s="49"/>
      <c r="E69" s="327"/>
      <c r="F69" s="332"/>
      <c r="G69" s="593"/>
      <c r="H69" s="593"/>
      <c r="I69" s="593"/>
      <c r="J69" s="332"/>
      <c r="K69" s="49"/>
      <c r="N69" s="575"/>
    </row>
    <row r="70" spans="3:14" hidden="1" x14ac:dyDescent="0.2">
      <c r="C70" s="400">
        <v>2014</v>
      </c>
      <c r="D70" s="49"/>
      <c r="E70" s="327" t="s">
        <v>4</v>
      </c>
      <c r="F70" s="565">
        <v>0</v>
      </c>
      <c r="G70" s="329">
        <v>2432</v>
      </c>
      <c r="H70" s="329">
        <v>2307</v>
      </c>
      <c r="I70" s="361">
        <f>SUM(G70:H70)</f>
        <v>4739</v>
      </c>
      <c r="J70" s="332">
        <v>17</v>
      </c>
      <c r="K70" s="49"/>
      <c r="N70" s="575"/>
    </row>
    <row r="71" spans="3:14" hidden="1" x14ac:dyDescent="0.2">
      <c r="C71" s="49"/>
      <c r="D71" s="49"/>
      <c r="E71" s="154" t="s">
        <v>5</v>
      </c>
      <c r="F71" s="330">
        <v>0</v>
      </c>
      <c r="G71" s="329">
        <v>1703</v>
      </c>
      <c r="H71" s="329">
        <v>1364</v>
      </c>
      <c r="I71" s="361">
        <f>SUM(G71:H71)</f>
        <v>3067</v>
      </c>
      <c r="J71" s="332">
        <v>11</v>
      </c>
      <c r="K71" s="49"/>
      <c r="N71" s="575"/>
    </row>
    <row r="72" spans="3:14" hidden="1" x14ac:dyDescent="0.2">
      <c r="C72" s="400"/>
      <c r="D72" s="400"/>
      <c r="E72" s="349" t="s">
        <v>6</v>
      </c>
      <c r="F72" s="362">
        <v>0</v>
      </c>
      <c r="G72" s="361">
        <f>IF(SUM(G70:G71)&lt;&gt;SUM(G73:G74),"ERROR",SUM(G70:G71))</f>
        <v>4135</v>
      </c>
      <c r="H72" s="361">
        <f>IF(SUM(H70:H71)&lt;&gt;SUM(H73:H74),"ERROR",SUM(H70:H71))</f>
        <v>3671</v>
      </c>
      <c r="I72" s="361">
        <f>IF(SUM(I70:I71)&lt;&gt;SUM(I73:I74),"ERROR",SUM(I70:I71))</f>
        <v>7806</v>
      </c>
      <c r="J72" s="577">
        <f>SUM(J70:J71)</f>
        <v>28</v>
      </c>
      <c r="K72" s="49"/>
      <c r="N72" s="575"/>
    </row>
    <row r="73" spans="3:14" hidden="1" x14ac:dyDescent="0.2">
      <c r="C73" s="49"/>
      <c r="D73" s="49"/>
      <c r="E73" s="154" t="s">
        <v>26</v>
      </c>
      <c r="F73" s="330">
        <v>0</v>
      </c>
      <c r="G73" s="332">
        <v>2033</v>
      </c>
      <c r="H73" s="329">
        <v>1840</v>
      </c>
      <c r="I73" s="361">
        <f>SUM(G73:H73)</f>
        <v>3873</v>
      </c>
      <c r="J73" s="332"/>
      <c r="K73" s="49"/>
      <c r="N73" s="575"/>
    </row>
    <row r="74" spans="3:14" hidden="1" x14ac:dyDescent="0.2">
      <c r="C74" s="49"/>
      <c r="D74" s="49"/>
      <c r="E74" s="327" t="s">
        <v>25</v>
      </c>
      <c r="F74" s="565">
        <v>0</v>
      </c>
      <c r="G74" s="332">
        <v>2102</v>
      </c>
      <c r="H74" s="329">
        <v>1831</v>
      </c>
      <c r="I74" s="361">
        <f>SUM(G74:H74)</f>
        <v>3933</v>
      </c>
      <c r="J74" s="332"/>
      <c r="K74" s="49"/>
      <c r="N74" s="575"/>
    </row>
    <row r="75" spans="3:14" hidden="1" x14ac:dyDescent="0.2">
      <c r="C75" s="49"/>
      <c r="D75" s="49"/>
      <c r="E75" s="333" t="s">
        <v>223</v>
      </c>
      <c r="F75" s="334"/>
      <c r="G75" s="591">
        <f>G73/G74</f>
        <v>0.96717411988582302</v>
      </c>
      <c r="H75" s="591">
        <f>H73/H74</f>
        <v>1.0049153468050245</v>
      </c>
      <c r="I75" s="591">
        <f>I73/I74</f>
        <v>0.98474446987032804</v>
      </c>
      <c r="J75" s="334"/>
      <c r="K75" s="49"/>
      <c r="N75" s="575"/>
    </row>
    <row r="76" spans="3:14" hidden="1" x14ac:dyDescent="0.2">
      <c r="K76" s="49"/>
      <c r="N76" s="575"/>
    </row>
    <row r="77" spans="3:14" hidden="1" x14ac:dyDescent="0.2">
      <c r="C77" s="400">
        <v>2015</v>
      </c>
      <c r="D77" s="49"/>
      <c r="E77" s="327" t="s">
        <v>4</v>
      </c>
      <c r="F77" s="565">
        <v>0</v>
      </c>
      <c r="G77" s="329">
        <v>2456</v>
      </c>
      <c r="H77" s="329">
        <v>2252</v>
      </c>
      <c r="I77" s="361">
        <f>SUM(G77:H77)</f>
        <v>4708</v>
      </c>
      <c r="J77" s="332">
        <v>17</v>
      </c>
      <c r="K77" s="49"/>
      <c r="N77" s="575"/>
    </row>
    <row r="78" spans="3:14" hidden="1" x14ac:dyDescent="0.2">
      <c r="C78" s="49"/>
      <c r="D78" s="49"/>
      <c r="E78" s="154" t="s">
        <v>5</v>
      </c>
      <c r="F78" s="330">
        <v>0</v>
      </c>
      <c r="G78" s="329">
        <v>1804</v>
      </c>
      <c r="H78" s="329">
        <v>1409</v>
      </c>
      <c r="I78" s="361">
        <f>SUM(G78:H78)</f>
        <v>3213</v>
      </c>
      <c r="J78" s="332">
        <v>11</v>
      </c>
      <c r="K78" s="49"/>
      <c r="N78" s="575"/>
    </row>
    <row r="79" spans="3:14" hidden="1" x14ac:dyDescent="0.2">
      <c r="C79" s="400"/>
      <c r="D79" s="400"/>
      <c r="E79" s="349" t="s">
        <v>6</v>
      </c>
      <c r="F79" s="362">
        <v>0</v>
      </c>
      <c r="G79" s="361">
        <f>IF(SUM(G77:G78)&lt;&gt;SUM(G80:G81),"ERROR",SUM(G77:G78))</f>
        <v>4260</v>
      </c>
      <c r="H79" s="361">
        <f>IF(SUM(H77:H78)&lt;&gt;SUM(H80:H81),"ERROR",SUM(H77:H78))</f>
        <v>3661</v>
      </c>
      <c r="I79" s="361">
        <f>IF(SUM(I77:I78)&lt;&gt;SUM(I80:I81),"ERROR",SUM(I77:I78))</f>
        <v>7921</v>
      </c>
      <c r="J79" s="577">
        <f>SUM(J77:J78)</f>
        <v>28</v>
      </c>
      <c r="K79" s="49"/>
      <c r="N79" s="575"/>
    </row>
    <row r="80" spans="3:14" hidden="1" x14ac:dyDescent="0.2">
      <c r="C80" s="49"/>
      <c r="D80" s="49"/>
      <c r="E80" s="154" t="s">
        <v>26</v>
      </c>
      <c r="F80" s="330">
        <v>0</v>
      </c>
      <c r="G80" s="331">
        <v>2188</v>
      </c>
      <c r="H80" s="329">
        <v>1829</v>
      </c>
      <c r="I80" s="361">
        <f>SUM(G80:H80)</f>
        <v>4017</v>
      </c>
      <c r="J80" s="332"/>
      <c r="K80" s="49"/>
      <c r="N80" s="575"/>
    </row>
    <row r="81" spans="3:14" hidden="1" x14ac:dyDescent="0.2">
      <c r="C81" s="49"/>
      <c r="D81" s="49"/>
      <c r="E81" s="327" t="s">
        <v>25</v>
      </c>
      <c r="F81" s="565">
        <v>0</v>
      </c>
      <c r="G81" s="332">
        <v>2072</v>
      </c>
      <c r="H81" s="329">
        <v>1832</v>
      </c>
      <c r="I81" s="361">
        <f>SUM(G81:H81)</f>
        <v>3904</v>
      </c>
      <c r="J81" s="332"/>
      <c r="K81" s="49"/>
      <c r="N81" s="575"/>
    </row>
    <row r="82" spans="3:14" ht="12.75" hidden="1" customHeight="1" x14ac:dyDescent="0.2">
      <c r="C82" s="49"/>
      <c r="D82" s="49"/>
      <c r="E82" s="333" t="s">
        <v>223</v>
      </c>
      <c r="F82" s="334"/>
      <c r="G82" s="335">
        <f>G80/G81</f>
        <v>1.055984555984556</v>
      </c>
      <c r="H82" s="335">
        <f>H80/H81</f>
        <v>0.9983624454148472</v>
      </c>
      <c r="I82" s="335">
        <f>I80/I81</f>
        <v>1.0289446721311475</v>
      </c>
      <c r="J82" s="334"/>
      <c r="K82" s="49"/>
    </row>
    <row r="83" spans="3:14" hidden="1" x14ac:dyDescent="0.2">
      <c r="K83" s="49"/>
    </row>
    <row r="84" spans="3:14" hidden="1" x14ac:dyDescent="0.2">
      <c r="C84" s="349">
        <v>2016</v>
      </c>
      <c r="E84" s="327" t="s">
        <v>4</v>
      </c>
      <c r="F84" s="565">
        <v>0</v>
      </c>
      <c r="G84" s="329">
        <v>2418</v>
      </c>
      <c r="H84" s="329">
        <v>2281</v>
      </c>
      <c r="I84" s="361">
        <f>SUM(G84:H84)</f>
        <v>4699</v>
      </c>
      <c r="J84" s="332">
        <v>17</v>
      </c>
      <c r="K84" s="49"/>
    </row>
    <row r="85" spans="3:14" hidden="1" x14ac:dyDescent="0.2">
      <c r="E85" s="154" t="s">
        <v>5</v>
      </c>
      <c r="F85" s="330">
        <v>0</v>
      </c>
      <c r="G85" s="329">
        <v>1881</v>
      </c>
      <c r="H85" s="329">
        <v>1498</v>
      </c>
      <c r="I85" s="361">
        <f>SUM(G85:H85)</f>
        <v>3379</v>
      </c>
      <c r="J85" s="332">
        <v>11</v>
      </c>
      <c r="K85" s="49"/>
    </row>
    <row r="86" spans="3:14" hidden="1" x14ac:dyDescent="0.2">
      <c r="E86" s="349" t="s">
        <v>6</v>
      </c>
      <c r="F86" s="362">
        <v>0</v>
      </c>
      <c r="G86" s="361">
        <f>IF(SUM(G84:G85)&lt;&gt;SUM(G87:G88),"ERROR",SUM(G84:G85))</f>
        <v>4299</v>
      </c>
      <c r="H86" s="361">
        <f>IF(SUM(H84:H85)&lt;&gt;SUM(H87:H88),"ERROR",SUM(H84:H85))</f>
        <v>3779</v>
      </c>
      <c r="I86" s="361">
        <f>IF(SUM(I84:I85)&lt;&gt;SUM(I87:I88),"ERROR",SUM(I84:I85))</f>
        <v>8078</v>
      </c>
      <c r="J86" s="577">
        <v>28</v>
      </c>
      <c r="K86" s="49"/>
    </row>
    <row r="87" spans="3:14" hidden="1" x14ac:dyDescent="0.2">
      <c r="E87" s="154" t="s">
        <v>26</v>
      </c>
      <c r="F87" s="330">
        <v>0</v>
      </c>
      <c r="G87" s="331">
        <v>2080</v>
      </c>
      <c r="H87" s="329">
        <v>1900</v>
      </c>
      <c r="I87" s="361">
        <f>SUM(G87:H87)</f>
        <v>3980</v>
      </c>
      <c r="J87" s="332"/>
      <c r="K87" s="49"/>
    </row>
    <row r="88" spans="3:14" hidden="1" x14ac:dyDescent="0.2">
      <c r="E88" s="327" t="s">
        <v>25</v>
      </c>
      <c r="F88" s="565">
        <v>0</v>
      </c>
      <c r="G88" s="332">
        <v>2219</v>
      </c>
      <c r="H88" s="329">
        <v>1879</v>
      </c>
      <c r="I88" s="361">
        <f>SUM(G88:H88)</f>
        <v>4098</v>
      </c>
      <c r="J88" s="332"/>
      <c r="K88" s="49"/>
    </row>
    <row r="89" spans="3:14" hidden="1" x14ac:dyDescent="0.2">
      <c r="E89" s="333" t="s">
        <v>223</v>
      </c>
      <c r="F89" s="334"/>
      <c r="G89" s="335">
        <f>G87/G88</f>
        <v>0.93735917079765663</v>
      </c>
      <c r="H89" s="335">
        <f>H87/H88</f>
        <v>1.0111761575306013</v>
      </c>
      <c r="I89" s="335">
        <f>I87/I88</f>
        <v>0.9712054660810151</v>
      </c>
      <c r="J89" s="334"/>
      <c r="K89" s="49"/>
    </row>
    <row r="90" spans="3:14" x14ac:dyDescent="0.2">
      <c r="C90" s="349">
        <v>2017</v>
      </c>
      <c r="E90" s="327" t="s">
        <v>4</v>
      </c>
      <c r="F90" s="565">
        <v>0</v>
      </c>
      <c r="G90" s="329">
        <v>2425</v>
      </c>
      <c r="H90" s="329">
        <v>2231</v>
      </c>
      <c r="I90" s="361">
        <f>SUM(G90:H90)</f>
        <v>4656</v>
      </c>
      <c r="J90" s="332">
        <v>17</v>
      </c>
      <c r="K90" s="49"/>
    </row>
    <row r="91" spans="3:14" x14ac:dyDescent="0.2">
      <c r="E91" s="154" t="s">
        <v>5</v>
      </c>
      <c r="F91" s="330">
        <v>0</v>
      </c>
      <c r="G91" s="329">
        <v>1786</v>
      </c>
      <c r="H91" s="329">
        <v>1535</v>
      </c>
      <c r="I91" s="361">
        <f>SUM(G91:H91)</f>
        <v>3321</v>
      </c>
      <c r="J91" s="332">
        <v>11</v>
      </c>
      <c r="K91" s="49"/>
    </row>
    <row r="92" spans="3:14" x14ac:dyDescent="0.2">
      <c r="E92" s="349" t="s">
        <v>6</v>
      </c>
      <c r="F92" s="362">
        <v>0</v>
      </c>
      <c r="G92" s="361">
        <f>IF(SUM(G90:G91)&lt;&gt;SUM(G93:G94),"ERROR",SUM(G90:G91))</f>
        <v>4211</v>
      </c>
      <c r="H92" s="361">
        <f>IF(SUM(H90:H91)&lt;&gt;SUM(H93:H94),"ERROR",SUM(H90:H91))</f>
        <v>3766</v>
      </c>
      <c r="I92" s="361">
        <f>IF(SUM(I90:I91)&lt;&gt;SUM(I93:I94),"ERROR",SUM(I90:I91))</f>
        <v>7977</v>
      </c>
      <c r="J92" s="577">
        <v>28</v>
      </c>
      <c r="K92" s="49"/>
    </row>
    <row r="93" spans="3:14" x14ac:dyDescent="0.2">
      <c r="E93" s="154" t="s">
        <v>26</v>
      </c>
      <c r="F93" s="330">
        <v>0</v>
      </c>
      <c r="G93" s="331">
        <v>2015</v>
      </c>
      <c r="H93" s="329">
        <v>1884</v>
      </c>
      <c r="I93" s="361">
        <f>SUM(G93:H93)</f>
        <v>3899</v>
      </c>
      <c r="J93" s="332"/>
      <c r="K93" s="49"/>
    </row>
    <row r="94" spans="3:14" x14ac:dyDescent="0.2">
      <c r="E94" s="327" t="s">
        <v>25</v>
      </c>
      <c r="F94" s="565">
        <v>0</v>
      </c>
      <c r="G94" s="332">
        <v>2196</v>
      </c>
      <c r="H94" s="329">
        <v>1882</v>
      </c>
      <c r="I94" s="361">
        <f>SUM(G94:H94)</f>
        <v>4078</v>
      </c>
      <c r="J94" s="332"/>
      <c r="K94" s="49"/>
    </row>
    <row r="95" spans="3:14" x14ac:dyDescent="0.2">
      <c r="E95" s="333" t="s">
        <v>223</v>
      </c>
      <c r="F95" s="334"/>
      <c r="G95" s="335">
        <f>G93/G94</f>
        <v>0.91757741347905286</v>
      </c>
      <c r="H95" s="335">
        <f>H93/H94</f>
        <v>1.0010626992561105</v>
      </c>
      <c r="I95" s="335">
        <f>I93/I94</f>
        <v>0.95610593428151058</v>
      </c>
      <c r="J95" s="334"/>
      <c r="K95" s="49"/>
    </row>
    <row r="96" spans="3:14" x14ac:dyDescent="0.2">
      <c r="C96" s="349">
        <v>2018</v>
      </c>
      <c r="E96" s="327" t="s">
        <v>4</v>
      </c>
      <c r="F96" s="565">
        <v>0</v>
      </c>
      <c r="G96" s="329">
        <v>2396</v>
      </c>
      <c r="H96" s="329">
        <v>2227</v>
      </c>
      <c r="I96" s="361">
        <f>SUM(G96:H96)</f>
        <v>4623</v>
      </c>
      <c r="J96" s="332">
        <v>17</v>
      </c>
      <c r="K96" s="49"/>
    </row>
    <row r="97" spans="3:11" x14ac:dyDescent="0.2">
      <c r="E97" s="154" t="s">
        <v>5</v>
      </c>
      <c r="F97" s="330">
        <v>0</v>
      </c>
      <c r="G97" s="329">
        <v>2022</v>
      </c>
      <c r="H97" s="329">
        <v>1596</v>
      </c>
      <c r="I97" s="361">
        <f>SUM(G97:H97)</f>
        <v>3618</v>
      </c>
      <c r="J97" s="332">
        <v>12</v>
      </c>
      <c r="K97" s="49"/>
    </row>
    <row r="98" spans="3:11" x14ac:dyDescent="0.2">
      <c r="E98" s="349" t="s">
        <v>6</v>
      </c>
      <c r="F98" s="362">
        <v>0</v>
      </c>
      <c r="G98" s="361">
        <f>IF(SUM(G96:G97)&lt;&gt;SUM(G99:G100),"ERROR",SUM(G96:G97))</f>
        <v>4418</v>
      </c>
      <c r="H98" s="361">
        <f>IF(SUM(H96:H97)&lt;&gt;SUM(H99:H100),"ERROR",SUM(H96:H97))</f>
        <v>3823</v>
      </c>
      <c r="I98" s="361">
        <f>IF(SUM(I96:I97)&lt;&gt;SUM(I99:I100),"ERROR",SUM(I96:I97))</f>
        <v>8241</v>
      </c>
      <c r="J98" s="577">
        <f>SUM(J96:J97)</f>
        <v>29</v>
      </c>
      <c r="K98" s="49"/>
    </row>
    <row r="99" spans="3:11" x14ac:dyDescent="0.2">
      <c r="E99" s="154" t="s">
        <v>26</v>
      </c>
      <c r="F99" s="330">
        <v>0</v>
      </c>
      <c r="G99" s="331">
        <v>2130</v>
      </c>
      <c r="H99" s="329">
        <v>1884</v>
      </c>
      <c r="I99" s="361">
        <f>SUM(G99:H99)</f>
        <v>4014</v>
      </c>
      <c r="J99" s="332"/>
      <c r="K99" s="49"/>
    </row>
    <row r="100" spans="3:11" x14ac:dyDescent="0.2">
      <c r="E100" s="327" t="s">
        <v>25</v>
      </c>
      <c r="F100" s="565">
        <v>0</v>
      </c>
      <c r="G100" s="332">
        <v>2288</v>
      </c>
      <c r="H100" s="329">
        <v>1939</v>
      </c>
      <c r="I100" s="361">
        <f>SUM(G100:H100)</f>
        <v>4227</v>
      </c>
      <c r="J100" s="332"/>
      <c r="K100" s="49"/>
    </row>
    <row r="101" spans="3:11" x14ac:dyDescent="0.2">
      <c r="E101" s="333" t="s">
        <v>223</v>
      </c>
      <c r="F101" s="334"/>
      <c r="G101" s="335">
        <f>G99/G100</f>
        <v>0.93094405594405594</v>
      </c>
      <c r="H101" s="335">
        <f>H99/H100</f>
        <v>0.9716348633316142</v>
      </c>
      <c r="I101" s="335">
        <f>I99/I100</f>
        <v>0.9496096522356281</v>
      </c>
      <c r="J101" s="334"/>
      <c r="K101" s="49"/>
    </row>
    <row r="102" spans="3:11" x14ac:dyDescent="0.2">
      <c r="C102" s="349">
        <v>2019</v>
      </c>
      <c r="E102" s="327" t="s">
        <v>4</v>
      </c>
      <c r="F102" s="565">
        <v>0</v>
      </c>
      <c r="G102" s="329">
        <v>2353</v>
      </c>
      <c r="H102" s="329">
        <v>2284</v>
      </c>
      <c r="I102" s="361">
        <f>SUM(G102:H102)</f>
        <v>4637</v>
      </c>
      <c r="J102" s="332">
        <v>17</v>
      </c>
      <c r="K102" s="49"/>
    </row>
    <row r="103" spans="3:11" x14ac:dyDescent="0.2">
      <c r="E103" s="154" t="s">
        <v>5</v>
      </c>
      <c r="F103" s="330">
        <v>0</v>
      </c>
      <c r="G103" s="329">
        <v>2125</v>
      </c>
      <c r="H103" s="329">
        <v>1284</v>
      </c>
      <c r="I103" s="361">
        <f>SUM(G103:H103)</f>
        <v>3409</v>
      </c>
      <c r="J103" s="332">
        <v>12</v>
      </c>
      <c r="K103" s="49"/>
    </row>
    <row r="104" spans="3:11" x14ac:dyDescent="0.2">
      <c r="E104" s="349" t="s">
        <v>6</v>
      </c>
      <c r="F104" s="362">
        <v>0</v>
      </c>
      <c r="G104" s="361">
        <f>IF(SUM(G102:G103)&lt;&gt;SUM(G105:G106),"ERROR",SUM(G102:G103))</f>
        <v>4478</v>
      </c>
      <c r="H104" s="361">
        <f>IF(SUM(H102:H103)&lt;&gt;SUM(H105:H106),"ERROR",SUM(H102:H103))</f>
        <v>3568</v>
      </c>
      <c r="I104" s="361">
        <f>IF(SUM(I102:I103)&lt;&gt;SUM(I105:I106),"ERROR",SUM(I102:I103))</f>
        <v>8046</v>
      </c>
      <c r="J104" s="577">
        <f>SUM(J102:J103)</f>
        <v>29</v>
      </c>
      <c r="K104" s="49"/>
    </row>
    <row r="105" spans="3:11" x14ac:dyDescent="0.2">
      <c r="E105" s="154" t="s">
        <v>26</v>
      </c>
      <c r="F105" s="330">
        <v>0</v>
      </c>
      <c r="G105" s="331">
        <v>2199</v>
      </c>
      <c r="H105" s="329">
        <v>1789</v>
      </c>
      <c r="I105" s="361">
        <f>SUM(G105:H105)</f>
        <v>3988</v>
      </c>
      <c r="J105" s="332"/>
      <c r="K105" s="49"/>
    </row>
    <row r="106" spans="3:11" x14ac:dyDescent="0.2">
      <c r="E106" s="327" t="s">
        <v>25</v>
      </c>
      <c r="F106" s="565">
        <v>0</v>
      </c>
      <c r="G106" s="332">
        <v>2279</v>
      </c>
      <c r="H106" s="329">
        <v>1779</v>
      </c>
      <c r="I106" s="361">
        <f>SUM(G106:H106)</f>
        <v>4058</v>
      </c>
      <c r="J106" s="332"/>
      <c r="K106" s="49"/>
    </row>
    <row r="107" spans="3:11" x14ac:dyDescent="0.2">
      <c r="E107" s="333" t="s">
        <v>223</v>
      </c>
      <c r="F107" s="334"/>
      <c r="G107" s="335">
        <f>G105/G106</f>
        <v>0.96489688459850809</v>
      </c>
      <c r="H107" s="335">
        <f>H105/H106</f>
        <v>1.0056211354693647</v>
      </c>
      <c r="I107" s="335">
        <f>I105/I106</f>
        <v>0.9827501232134056</v>
      </c>
      <c r="J107" s="334"/>
      <c r="K107" s="49"/>
    </row>
    <row r="108" spans="3:11" x14ac:dyDescent="0.2">
      <c r="C108" s="349">
        <v>2020</v>
      </c>
      <c r="E108" s="327" t="s">
        <v>4</v>
      </c>
      <c r="F108" s="565">
        <v>0</v>
      </c>
      <c r="G108" s="329">
        <v>2306</v>
      </c>
      <c r="H108" s="329">
        <v>2373</v>
      </c>
      <c r="I108" s="361">
        <f>SUM(G108:H108)</f>
        <v>4679</v>
      </c>
      <c r="J108" s="332">
        <v>17</v>
      </c>
      <c r="K108" s="49"/>
    </row>
    <row r="109" spans="3:11" x14ac:dyDescent="0.2">
      <c r="C109" s="349"/>
      <c r="E109" s="154" t="s">
        <v>5</v>
      </c>
      <c r="F109" s="330">
        <v>0</v>
      </c>
      <c r="G109" s="329">
        <v>1991</v>
      </c>
      <c r="H109" s="329">
        <v>1764</v>
      </c>
      <c r="I109" s="361">
        <f>SUM(G109:H109)</f>
        <v>3755</v>
      </c>
      <c r="J109" s="332">
        <v>12</v>
      </c>
      <c r="K109" s="49"/>
    </row>
    <row r="110" spans="3:11" x14ac:dyDescent="0.2">
      <c r="C110" s="349"/>
      <c r="E110" s="349" t="s">
        <v>6</v>
      </c>
      <c r="F110" s="362">
        <v>0</v>
      </c>
      <c r="G110" s="361">
        <f>IF(SUM(G108:G109)&lt;&gt;SUM(G111:G112),"ERROR",SUM(G108:G109))</f>
        <v>4297</v>
      </c>
      <c r="H110" s="361">
        <f>IF(SUM(H108:H109)&lt;&gt;SUM(H111:H112),"ERROR",SUM(H108:H109))</f>
        <v>4137</v>
      </c>
      <c r="I110" s="361">
        <f>IF(SUM(I108:I109)&lt;&gt;SUM(I111:I112),"ERROR",SUM(I108:I109))</f>
        <v>8434</v>
      </c>
      <c r="J110" s="577">
        <f>SUM(J108:J109)</f>
        <v>29</v>
      </c>
      <c r="K110" s="49"/>
    </row>
    <row r="111" spans="3:11" x14ac:dyDescent="0.2">
      <c r="C111" s="349"/>
      <c r="E111" s="154" t="s">
        <v>26</v>
      </c>
      <c r="F111" s="330">
        <v>0</v>
      </c>
      <c r="G111" s="331">
        <v>2117</v>
      </c>
      <c r="H111" s="329">
        <v>2050</v>
      </c>
      <c r="I111" s="361">
        <f>SUM(G111:H111)</f>
        <v>4167</v>
      </c>
      <c r="J111" s="332"/>
      <c r="K111" s="49"/>
    </row>
    <row r="112" spans="3:11" x14ac:dyDescent="0.2">
      <c r="C112" s="349"/>
      <c r="E112" s="327" t="s">
        <v>25</v>
      </c>
      <c r="F112" s="565">
        <v>0</v>
      </c>
      <c r="G112" s="332">
        <v>2180</v>
      </c>
      <c r="H112" s="329">
        <v>2087</v>
      </c>
      <c r="I112" s="361">
        <f>SUM(G112:H112)</f>
        <v>4267</v>
      </c>
      <c r="J112" s="332"/>
      <c r="K112" s="49"/>
    </row>
    <row r="113" spans="3:11" x14ac:dyDescent="0.2">
      <c r="C113" s="349"/>
      <c r="E113" s="333" t="s">
        <v>223</v>
      </c>
      <c r="F113" s="334"/>
      <c r="G113" s="335">
        <v>0.97</v>
      </c>
      <c r="H113" s="335">
        <v>0.98</v>
      </c>
      <c r="I113" s="335">
        <v>0.98</v>
      </c>
      <c r="J113" s="334"/>
      <c r="K113" s="49"/>
    </row>
    <row r="114" spans="3:11" x14ac:dyDescent="0.2">
      <c r="C114" s="349">
        <v>2021</v>
      </c>
      <c r="E114" s="327" t="s">
        <v>4</v>
      </c>
      <c r="F114" s="565">
        <v>0</v>
      </c>
      <c r="G114" s="329">
        <v>2248</v>
      </c>
      <c r="H114" s="329">
        <v>2509</v>
      </c>
      <c r="I114" s="361">
        <f>SUM(G114:H114)</f>
        <v>4757</v>
      </c>
      <c r="J114" s="329">
        <v>17</v>
      </c>
      <c r="K114" s="49"/>
    </row>
    <row r="115" spans="3:11" x14ac:dyDescent="0.2">
      <c r="E115" s="154" t="s">
        <v>5</v>
      </c>
      <c r="F115" s="330">
        <v>0</v>
      </c>
      <c r="G115" s="329">
        <v>2201</v>
      </c>
      <c r="H115" s="329">
        <v>1860</v>
      </c>
      <c r="I115" s="361">
        <f>SUM(G115:H115)</f>
        <v>4061</v>
      </c>
      <c r="J115" s="332">
        <v>19</v>
      </c>
      <c r="K115" s="49"/>
    </row>
    <row r="116" spans="3:11" x14ac:dyDescent="0.2">
      <c r="E116" s="154" t="s">
        <v>314</v>
      </c>
      <c r="F116" s="330"/>
      <c r="G116" s="329">
        <v>65</v>
      </c>
      <c r="H116" s="329">
        <v>53</v>
      </c>
      <c r="I116" s="361">
        <f>SUM(G116:H116)</f>
        <v>118</v>
      </c>
      <c r="J116" s="577">
        <f>SUM(J114:J115)</f>
        <v>36</v>
      </c>
      <c r="K116" s="49"/>
    </row>
    <row r="117" spans="3:11" x14ac:dyDescent="0.2">
      <c r="C117" s="349"/>
      <c r="E117" s="349" t="s">
        <v>6</v>
      </c>
      <c r="F117" s="362">
        <v>0</v>
      </c>
      <c r="G117" s="361">
        <f>IF(SUM(G114:G116)&lt;&gt;SUM(G118:G119),"ERROR",SUM(G114:G116))</f>
        <v>4514</v>
      </c>
      <c r="H117" s="361">
        <f>IF(SUM(H114:H116)&lt;&gt;SUM(H118:H119),"ERROR",SUM(H114:H116))</f>
        <v>4422</v>
      </c>
      <c r="I117" s="361">
        <f t="shared" ref="I117" si="0">IF(SUM(I114:I116)&lt;&gt;SUM(I118:I119),"ERROR",SUM(I114:I116))</f>
        <v>8936</v>
      </c>
      <c r="J117" s="577"/>
      <c r="K117" s="49"/>
    </row>
    <row r="118" spans="3:11" x14ac:dyDescent="0.2">
      <c r="E118" s="154" t="s">
        <v>26</v>
      </c>
      <c r="F118" s="330">
        <v>0</v>
      </c>
      <c r="G118" s="331">
        <v>2229</v>
      </c>
      <c r="H118" s="329">
        <v>2181</v>
      </c>
      <c r="I118" s="361">
        <f>SUM(G118:H118)</f>
        <v>4410</v>
      </c>
      <c r="J118" s="332"/>
      <c r="K118" s="49"/>
    </row>
    <row r="119" spans="3:11" x14ac:dyDescent="0.2">
      <c r="E119" s="327" t="s">
        <v>25</v>
      </c>
      <c r="F119" s="565">
        <v>0</v>
      </c>
      <c r="G119" s="332">
        <v>2285</v>
      </c>
      <c r="H119" s="329">
        <v>2241</v>
      </c>
      <c r="I119" s="361">
        <f>SUM(G119:H119)</f>
        <v>4526</v>
      </c>
      <c r="J119" s="332"/>
      <c r="K119" s="49"/>
    </row>
    <row r="120" spans="3:11" x14ac:dyDescent="0.2">
      <c r="E120" s="333" t="s">
        <v>223</v>
      </c>
      <c r="F120" s="334"/>
      <c r="G120" s="335">
        <v>0.98</v>
      </c>
      <c r="H120" s="335">
        <v>0.97</v>
      </c>
      <c r="I120" s="335">
        <v>0.97</v>
      </c>
      <c r="J120" s="334"/>
      <c r="K120" s="49"/>
    </row>
    <row r="121" spans="3:11" hidden="1" x14ac:dyDescent="0.2">
      <c r="E121" s="327"/>
      <c r="F121" s="332"/>
      <c r="G121" s="336"/>
      <c r="H121" s="336"/>
      <c r="I121" s="336"/>
      <c r="J121" s="332"/>
      <c r="K121" s="49"/>
    </row>
    <row r="122" spans="3:11" hidden="1" x14ac:dyDescent="0.2">
      <c r="E122" s="327"/>
      <c r="F122" s="332"/>
      <c r="G122" s="336"/>
      <c r="H122" s="336"/>
      <c r="I122" s="336"/>
      <c r="J122" s="332"/>
      <c r="K122" s="49"/>
    </row>
    <row r="123" spans="3:11" x14ac:dyDescent="0.2">
      <c r="C123" s="349">
        <v>2022</v>
      </c>
      <c r="E123" s="327" t="s">
        <v>4</v>
      </c>
      <c r="F123" s="565">
        <v>0</v>
      </c>
      <c r="G123" s="329">
        <v>2291</v>
      </c>
      <c r="H123" s="329">
        <v>2603</v>
      </c>
      <c r="I123" s="361">
        <f>SUM(G123:H123)</f>
        <v>4894</v>
      </c>
      <c r="J123" s="329">
        <v>17</v>
      </c>
      <c r="K123" s="49"/>
    </row>
    <row r="124" spans="3:11" x14ac:dyDescent="0.2">
      <c r="E124" s="154" t="s">
        <v>5</v>
      </c>
      <c r="F124" s="330">
        <v>0</v>
      </c>
      <c r="G124" s="329">
        <v>2170</v>
      </c>
      <c r="H124" s="329">
        <v>1860</v>
      </c>
      <c r="I124" s="361">
        <f>SUM(G124:H124)</f>
        <v>4030</v>
      </c>
      <c r="J124" s="332">
        <v>19</v>
      </c>
      <c r="K124" s="49"/>
    </row>
    <row r="125" spans="3:11" x14ac:dyDescent="0.2">
      <c r="E125" s="154" t="s">
        <v>314</v>
      </c>
      <c r="F125" s="330"/>
      <c r="G125" s="329">
        <v>54</v>
      </c>
      <c r="H125" s="329">
        <v>64</v>
      </c>
      <c r="I125" s="361">
        <f>SUM(G125:H125)</f>
        <v>118</v>
      </c>
      <c r="J125" s="577">
        <f>SUM(J123:J124)</f>
        <v>36</v>
      </c>
      <c r="K125" s="49"/>
    </row>
    <row r="126" spans="3:11" x14ac:dyDescent="0.2">
      <c r="C126" s="349"/>
      <c r="E126" s="349" t="s">
        <v>6</v>
      </c>
      <c r="F126" s="362">
        <v>0</v>
      </c>
      <c r="G126" s="361">
        <f>IF(SUM(G123:G125)&lt;&gt;SUM(G127:G128),"ERROR",SUM(G123:G125))</f>
        <v>4515</v>
      </c>
      <c r="H126" s="361">
        <f>IF(SUM(H123:H125)&lt;&gt;SUM(H127:H128),"ERROR",SUM(H123:H125))</f>
        <v>4527</v>
      </c>
      <c r="I126" s="361">
        <f t="shared" ref="I126" si="1">IF(SUM(I123:I125)&lt;&gt;SUM(I127:I128),"ERROR",SUM(I123:I125))</f>
        <v>9042</v>
      </c>
      <c r="J126" s="577"/>
      <c r="K126" s="49"/>
    </row>
    <row r="127" spans="3:11" x14ac:dyDescent="0.2">
      <c r="E127" s="154" t="s">
        <v>26</v>
      </c>
      <c r="F127" s="330">
        <v>0</v>
      </c>
      <c r="G127" s="331">
        <v>2267</v>
      </c>
      <c r="H127" s="329">
        <v>2255</v>
      </c>
      <c r="I127" s="361">
        <f>SUM(G127:H127)</f>
        <v>4522</v>
      </c>
      <c r="J127" s="332"/>
      <c r="K127" s="49"/>
    </row>
    <row r="128" spans="3:11" x14ac:dyDescent="0.2">
      <c r="E128" s="327" t="s">
        <v>25</v>
      </c>
      <c r="F128" s="565">
        <v>0</v>
      </c>
      <c r="G128" s="332">
        <v>2248</v>
      </c>
      <c r="H128" s="329">
        <v>2272</v>
      </c>
      <c r="I128" s="361">
        <f>SUM(G128:H128)</f>
        <v>4520</v>
      </c>
      <c r="J128" s="332"/>
      <c r="K128" s="49"/>
    </row>
    <row r="129" spans="2:12" x14ac:dyDescent="0.2">
      <c r="E129" s="333" t="s">
        <v>223</v>
      </c>
      <c r="F129" s="334"/>
      <c r="G129" s="335">
        <v>0.98</v>
      </c>
      <c r="H129" s="335">
        <v>0.97</v>
      </c>
      <c r="I129" s="335">
        <v>0.97</v>
      </c>
      <c r="J129" s="334"/>
      <c r="K129" s="49"/>
    </row>
    <row r="130" spans="2:12" x14ac:dyDescent="0.2">
      <c r="D130" s="145"/>
    </row>
    <row r="131" spans="2:12" ht="9" customHeight="1" x14ac:dyDescent="0.2">
      <c r="B131" s="582"/>
      <c r="C131" s="582"/>
      <c r="D131" s="582"/>
      <c r="E131" s="582"/>
      <c r="F131" s="582"/>
      <c r="G131" s="582"/>
      <c r="H131" s="582"/>
      <c r="I131" s="494"/>
      <c r="J131" s="582"/>
      <c r="K131" s="582"/>
    </row>
    <row r="132" spans="2:12" x14ac:dyDescent="0.2">
      <c r="B132" s="354"/>
      <c r="C132" s="354"/>
      <c r="D132" s="354"/>
      <c r="E132" s="354"/>
      <c r="F132" s="354"/>
      <c r="G132" s="354"/>
      <c r="H132" s="354"/>
      <c r="I132" s="354"/>
      <c r="J132" s="354"/>
      <c r="K132" s="354"/>
      <c r="L132" s="354"/>
    </row>
    <row r="133" spans="2:12" x14ac:dyDescent="0.2">
      <c r="E133" s="145"/>
      <c r="I133" s="590"/>
    </row>
    <row r="173" spans="14:60" x14ac:dyDescent="0.2"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</row>
    <row r="174" spans="14:60" x14ac:dyDescent="0.2"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</row>
    <row r="175" spans="14:60" x14ac:dyDescent="0.2"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</row>
    <row r="181" spans="6:13" x14ac:dyDescent="0.2">
      <c r="F181" s="49"/>
      <c r="G181" s="49"/>
      <c r="H181" s="49"/>
      <c r="I181" s="400"/>
      <c r="J181" s="49"/>
      <c r="K181" s="49"/>
      <c r="L181" s="49"/>
      <c r="M181" s="49"/>
    </row>
    <row r="182" spans="6:13" x14ac:dyDescent="0.2">
      <c r="F182" s="49"/>
      <c r="G182" s="49"/>
      <c r="H182" s="49"/>
      <c r="I182" s="400"/>
      <c r="J182" s="49"/>
      <c r="K182" s="49"/>
      <c r="L182" s="49"/>
      <c r="M182" s="49"/>
    </row>
    <row r="183" spans="6:13" x14ac:dyDescent="0.2">
      <c r="F183" s="49"/>
      <c r="G183" s="49"/>
      <c r="H183" s="49"/>
      <c r="I183" s="400"/>
      <c r="J183" s="49"/>
      <c r="K183" s="49"/>
      <c r="L183" s="49"/>
      <c r="M183" s="49"/>
    </row>
  </sheetData>
  <mergeCells count="2">
    <mergeCell ref="C10:M10"/>
    <mergeCell ref="J2:M2"/>
  </mergeCells>
  <phoneticPr fontId="0" type="noConversion"/>
  <pageMargins left="0.7" right="0.7" top="0.75" bottom="0.75" header="0.3" footer="0.3"/>
  <pageSetup scale="79" orientation="portrait" r:id="rId1"/>
  <colBreaks count="1" manualBreakCount="1">
    <brk id="15" max="1048575" man="1"/>
  </colBreaks>
  <ignoredErrors>
    <ignoredError sqref="I90:I91 I93:I94 I99:I100 I105:I106 G110:H110 I118:I125 G117:H117 I127:I129 G126:H126 I111:I116 I102:I103 I108:I109 I96:I97" formulaRange="1"/>
    <ignoredError sqref="I92 I98 I104 I110 I117 I126 I101 I107 I95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0" r:id="rId4">
          <objectPr defaultSize="0" autoPict="0" r:id="rId5">
            <anchor moveWithCells="1" sizeWithCells="1">
              <from>
                <xdr:col>1</xdr:col>
                <xdr:colOff>152400</xdr:colOff>
                <xdr:row>0</xdr:row>
                <xdr:rowOff>85725</xdr:rowOff>
              </from>
              <to>
                <xdr:col>2</xdr:col>
                <xdr:colOff>571500</xdr:colOff>
                <xdr:row>3</xdr:row>
                <xdr:rowOff>47625</xdr:rowOff>
              </to>
            </anchor>
          </objectPr>
        </oleObject>
      </mc:Choice>
      <mc:Fallback>
        <oleObject progId="MSPhotoEd.3" shapeId="2458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5" tint="0.59999389629810485"/>
    <pageSetUpPr fitToPage="1"/>
  </sheetPr>
  <dimension ref="B2:P77"/>
  <sheetViews>
    <sheetView zoomScaleNormal="100" workbookViewId="0">
      <selection activeCell="G4" sqref="G4"/>
    </sheetView>
  </sheetViews>
  <sheetFormatPr defaultColWidth="9.140625" defaultRowHeight="14.25" x14ac:dyDescent="0.2"/>
  <cols>
    <col min="1" max="1" width="9.140625" style="282"/>
    <col min="2" max="2" width="8.140625" style="282" customWidth="1"/>
    <col min="3" max="3" width="17.7109375" style="282" customWidth="1"/>
    <col min="4" max="5" width="15.140625" style="282" customWidth="1"/>
    <col min="6" max="6" width="13.140625" style="282" customWidth="1"/>
    <col min="7" max="10" width="9.140625" style="282"/>
    <col min="11" max="11" width="2.42578125" style="282" customWidth="1"/>
    <col min="12" max="16384" width="9.140625" style="282"/>
  </cols>
  <sheetData>
    <row r="2" spans="2:16" x14ac:dyDescent="0.2">
      <c r="E2" s="486" t="s">
        <v>340</v>
      </c>
      <c r="F2" s="486"/>
      <c r="G2" s="486"/>
      <c r="H2" s="486"/>
      <c r="I2" s="486"/>
      <c r="J2" s="486"/>
    </row>
    <row r="4" spans="2:16" ht="15" x14ac:dyDescent="0.25">
      <c r="F4" s="29"/>
      <c r="G4" s="29"/>
      <c r="H4" s="349"/>
      <c r="I4" s="563"/>
    </row>
    <row r="5" spans="2:16" s="280" customFormat="1" ht="9" customHeight="1" x14ac:dyDescent="0.2">
      <c r="L5" s="154"/>
    </row>
    <row r="6" spans="2:16" s="280" customFormat="1" ht="12.75" x14ac:dyDescent="0.2">
      <c r="P6" s="154"/>
    </row>
    <row r="7" spans="2:16" s="280" customFormat="1" ht="15.75" x14ac:dyDescent="0.25">
      <c r="B7" s="558"/>
      <c r="C7" s="558"/>
      <c r="D7" s="558"/>
      <c r="E7" s="558"/>
      <c r="F7" s="558"/>
      <c r="G7" s="558"/>
      <c r="H7" s="405"/>
      <c r="I7" s="405"/>
      <c r="J7" s="405"/>
      <c r="K7" s="405"/>
      <c r="L7" s="405"/>
      <c r="M7" s="405"/>
      <c r="P7" s="154"/>
    </row>
    <row r="8" spans="2:16" s="280" customFormat="1" ht="15.75" x14ac:dyDescent="0.25">
      <c r="B8" s="558"/>
      <c r="C8" s="558"/>
      <c r="D8" s="558"/>
      <c r="E8" s="558"/>
      <c r="F8" s="558"/>
      <c r="G8" s="558"/>
      <c r="H8" s="558"/>
      <c r="I8" s="558"/>
      <c r="J8" s="558"/>
      <c r="K8" s="405"/>
      <c r="L8" s="405"/>
      <c r="M8" s="405"/>
      <c r="P8" s="154"/>
    </row>
    <row r="9" spans="2:16" s="280" customFormat="1" ht="15.75" x14ac:dyDescent="0.25">
      <c r="D9" s="558"/>
      <c r="E9" s="558"/>
      <c r="F9" s="558"/>
      <c r="G9" s="558"/>
      <c r="H9" s="558"/>
      <c r="I9" s="558"/>
      <c r="J9" s="558"/>
      <c r="K9" s="558"/>
      <c r="L9" s="558"/>
      <c r="M9" s="558"/>
      <c r="P9" s="154"/>
    </row>
    <row r="10" spans="2:16" s="408" customFormat="1" ht="15" customHeight="1" x14ac:dyDescent="0.25">
      <c r="B10" s="408" t="s">
        <v>208</v>
      </c>
      <c r="C10" s="617" t="s">
        <v>361</v>
      </c>
      <c r="D10" s="617"/>
      <c r="E10" s="617"/>
      <c r="F10" s="617"/>
      <c r="G10" s="617"/>
      <c r="H10" s="561"/>
      <c r="I10" s="561"/>
      <c r="J10" s="561"/>
    </row>
    <row r="11" spans="2:16" s="408" customFormat="1" ht="15" x14ac:dyDescent="0.25">
      <c r="C11" s="617"/>
      <c r="D11" s="617"/>
      <c r="E11" s="617"/>
      <c r="F11" s="617"/>
      <c r="G11" s="617"/>
    </row>
    <row r="12" spans="2:16" s="408" customFormat="1" ht="15" x14ac:dyDescent="0.25">
      <c r="B12" s="280"/>
      <c r="C12" s="280"/>
      <c r="D12" s="280"/>
      <c r="E12" s="280"/>
    </row>
    <row r="13" spans="2:16" x14ac:dyDescent="0.2">
      <c r="C13" s="438" t="s">
        <v>198</v>
      </c>
      <c r="D13" s="439" t="s">
        <v>1</v>
      </c>
      <c r="E13" s="439" t="s">
        <v>317</v>
      </c>
      <c r="F13" s="439" t="s">
        <v>24</v>
      </c>
    </row>
    <row r="14" spans="2:16" x14ac:dyDescent="0.2">
      <c r="C14" s="438" t="s">
        <v>199</v>
      </c>
      <c r="D14" s="347">
        <f>SUM(D18,D19)</f>
        <v>4515</v>
      </c>
      <c r="E14" s="347">
        <f>SUM(E18,E19)</f>
        <v>4527</v>
      </c>
      <c r="F14" s="347">
        <f>SUM(F18,F19)</f>
        <v>9042</v>
      </c>
    </row>
    <row r="15" spans="2:16" x14ac:dyDescent="0.2">
      <c r="C15" s="440" t="s">
        <v>4</v>
      </c>
      <c r="D15" s="347">
        <f t="shared" ref="D15:F19" si="0">SUM(D23,D31,D39,D47,D55,D63)</f>
        <v>2291</v>
      </c>
      <c r="E15" s="347">
        <f>SUM(E23,E31,E39,E47,E55,E63)</f>
        <v>2603</v>
      </c>
      <c r="F15" s="347">
        <f t="shared" si="0"/>
        <v>4894</v>
      </c>
    </row>
    <row r="16" spans="2:16" x14ac:dyDescent="0.2">
      <c r="C16" s="440" t="s">
        <v>5</v>
      </c>
      <c r="D16" s="347">
        <f t="shared" si="0"/>
        <v>2170</v>
      </c>
      <c r="E16" s="347">
        <f t="shared" si="0"/>
        <v>1860</v>
      </c>
      <c r="F16" s="347">
        <f t="shared" si="0"/>
        <v>4030</v>
      </c>
    </row>
    <row r="17" spans="3:10" x14ac:dyDescent="0.2">
      <c r="C17" s="440" t="s">
        <v>314</v>
      </c>
      <c r="D17" s="347">
        <f>SUM(D25,D33,D41,D49,D57)</f>
        <v>54</v>
      </c>
      <c r="E17" s="347">
        <f t="shared" si="0"/>
        <v>64</v>
      </c>
      <c r="F17" s="347">
        <f t="shared" si="0"/>
        <v>118</v>
      </c>
    </row>
    <row r="18" spans="3:10" x14ac:dyDescent="0.2">
      <c r="C18" s="440" t="s">
        <v>26</v>
      </c>
      <c r="D18" s="347">
        <f>SUM(D26,D34,D42,D50,D58,D66)</f>
        <v>2267</v>
      </c>
      <c r="E18" s="347">
        <f t="shared" si="0"/>
        <v>2255</v>
      </c>
      <c r="F18" s="347">
        <f t="shared" si="0"/>
        <v>4522</v>
      </c>
      <c r="I18" s="441"/>
    </row>
    <row r="19" spans="3:10" ht="15" x14ac:dyDescent="0.25">
      <c r="C19" s="440" t="s">
        <v>25</v>
      </c>
      <c r="D19" s="347">
        <f>SUM(D27,D35,D43,D51,D59,D67)</f>
        <v>2248</v>
      </c>
      <c r="E19" s="347">
        <f t="shared" si="0"/>
        <v>2272</v>
      </c>
      <c r="F19" s="347">
        <f t="shared" si="0"/>
        <v>4520</v>
      </c>
      <c r="J19" s="442"/>
    </row>
    <row r="20" spans="3:10" x14ac:dyDescent="0.2">
      <c r="C20" s="443" t="s">
        <v>318</v>
      </c>
      <c r="D20" s="347"/>
      <c r="E20" s="347"/>
      <c r="F20" s="347"/>
    </row>
    <row r="21" spans="3:10" x14ac:dyDescent="0.2">
      <c r="C21" s="438"/>
      <c r="D21" s="444"/>
      <c r="E21" s="444"/>
      <c r="F21" s="444"/>
    </row>
    <row r="22" spans="3:10" x14ac:dyDescent="0.2">
      <c r="C22" s="438" t="s">
        <v>154</v>
      </c>
      <c r="D22" s="445">
        <f>SUM(D26,D27)</f>
        <v>3051</v>
      </c>
      <c r="E22" s="445">
        <f>SUM(E26,E27)</f>
        <v>3401</v>
      </c>
      <c r="F22" s="445">
        <f>SUM(F26,F27)</f>
        <v>6452</v>
      </c>
    </row>
    <row r="23" spans="3:10" x14ac:dyDescent="0.2">
      <c r="C23" s="440" t="s">
        <v>4</v>
      </c>
      <c r="D23" s="444">
        <v>946</v>
      </c>
      <c r="E23" s="444">
        <v>1593</v>
      </c>
      <c r="F23" s="444">
        <f>SUM(D23:E23)</f>
        <v>2539</v>
      </c>
    </row>
    <row r="24" spans="3:10" x14ac:dyDescent="0.2">
      <c r="C24" s="440" t="s">
        <v>5</v>
      </c>
      <c r="D24" s="444">
        <v>2080</v>
      </c>
      <c r="E24" s="444">
        <v>1783</v>
      </c>
      <c r="F24" s="444">
        <f>SUM(D24:E24)</f>
        <v>3863</v>
      </c>
    </row>
    <row r="25" spans="3:10" x14ac:dyDescent="0.2">
      <c r="C25" s="440" t="s">
        <v>314</v>
      </c>
      <c r="D25" s="444">
        <v>25</v>
      </c>
      <c r="E25" s="444">
        <v>25</v>
      </c>
      <c r="F25" s="444">
        <f>SUM(D25:E25)</f>
        <v>50</v>
      </c>
    </row>
    <row r="26" spans="3:10" x14ac:dyDescent="0.2">
      <c r="C26" s="440" t="s">
        <v>26</v>
      </c>
      <c r="D26" s="444">
        <v>1556</v>
      </c>
      <c r="E26" s="444">
        <v>1687</v>
      </c>
      <c r="F26" s="444">
        <f>SUM(D26:E26)</f>
        <v>3243</v>
      </c>
    </row>
    <row r="27" spans="3:10" x14ac:dyDescent="0.2">
      <c r="C27" s="440" t="s">
        <v>25</v>
      </c>
      <c r="D27" s="444">
        <v>1495</v>
      </c>
      <c r="E27" s="444">
        <v>1714</v>
      </c>
      <c r="F27" s="444">
        <f>SUM(D27:E27)</f>
        <v>3209</v>
      </c>
    </row>
    <row r="28" spans="3:10" x14ac:dyDescent="0.2">
      <c r="C28" s="443" t="s">
        <v>318</v>
      </c>
      <c r="D28" s="444"/>
      <c r="E28" s="444"/>
      <c r="F28" s="444"/>
    </row>
    <row r="29" spans="3:10" x14ac:dyDescent="0.2">
      <c r="C29" s="443"/>
      <c r="D29" s="444"/>
      <c r="E29" s="444"/>
      <c r="F29" s="444"/>
    </row>
    <row r="30" spans="3:10" x14ac:dyDescent="0.2">
      <c r="C30" s="438" t="s">
        <v>155</v>
      </c>
      <c r="D30" s="445">
        <f>SUM(D34,D35)</f>
        <v>536</v>
      </c>
      <c r="E30" s="445">
        <f>SUM(E34,E35)</f>
        <v>87</v>
      </c>
      <c r="F30" s="445">
        <f>SUM(F34,F35)</f>
        <v>623</v>
      </c>
    </row>
    <row r="31" spans="3:10" x14ac:dyDescent="0.2">
      <c r="C31" s="440" t="s">
        <v>4</v>
      </c>
      <c r="D31" s="444">
        <v>431</v>
      </c>
      <c r="E31" s="446"/>
      <c r="F31" s="445">
        <f t="shared" ref="F31:F36" si="1">SUM(D31:E31)</f>
        <v>431</v>
      </c>
    </row>
    <row r="32" spans="3:10" x14ac:dyDescent="0.2">
      <c r="C32" s="440" t="s">
        <v>5</v>
      </c>
      <c r="D32" s="444">
        <v>90</v>
      </c>
      <c r="E32" s="444">
        <v>77</v>
      </c>
      <c r="F32" s="445">
        <f t="shared" si="1"/>
        <v>167</v>
      </c>
    </row>
    <row r="33" spans="3:6" x14ac:dyDescent="0.2">
      <c r="C33" s="440" t="s">
        <v>314</v>
      </c>
      <c r="D33" s="444">
        <v>15</v>
      </c>
      <c r="E33" s="444">
        <v>10</v>
      </c>
      <c r="F33" s="445">
        <f t="shared" si="1"/>
        <v>25</v>
      </c>
    </row>
    <row r="34" spans="3:6" x14ac:dyDescent="0.2">
      <c r="C34" s="440" t="s">
        <v>26</v>
      </c>
      <c r="D34" s="444">
        <v>265</v>
      </c>
      <c r="E34" s="444">
        <v>42</v>
      </c>
      <c r="F34" s="445">
        <f t="shared" si="1"/>
        <v>307</v>
      </c>
    </row>
    <row r="35" spans="3:6" x14ac:dyDescent="0.2">
      <c r="C35" s="440" t="s">
        <v>25</v>
      </c>
      <c r="D35" s="444">
        <v>271</v>
      </c>
      <c r="E35" s="444">
        <v>45</v>
      </c>
      <c r="F35" s="445">
        <f t="shared" si="1"/>
        <v>316</v>
      </c>
    </row>
    <row r="36" spans="3:6" x14ac:dyDescent="0.2">
      <c r="C36" s="443" t="s">
        <v>318</v>
      </c>
      <c r="D36" s="444">
        <v>3</v>
      </c>
      <c r="E36" s="444"/>
      <c r="F36" s="444">
        <f t="shared" si="1"/>
        <v>3</v>
      </c>
    </row>
    <row r="37" spans="3:6" x14ac:dyDescent="0.2">
      <c r="C37" s="443"/>
      <c r="D37" s="444"/>
      <c r="E37" s="444"/>
      <c r="F37" s="444"/>
    </row>
    <row r="38" spans="3:6" x14ac:dyDescent="0.2">
      <c r="C38" s="438" t="s">
        <v>156</v>
      </c>
      <c r="D38" s="445">
        <f>SUM(D42,D43)</f>
        <v>655</v>
      </c>
      <c r="E38" s="445">
        <f t="shared" ref="E38:F38" si="2">SUM(E42,E43)</f>
        <v>21</v>
      </c>
      <c r="F38" s="445">
        <f t="shared" si="2"/>
        <v>676</v>
      </c>
    </row>
    <row r="39" spans="3:6" x14ac:dyDescent="0.2">
      <c r="C39" s="440" t="s">
        <v>4</v>
      </c>
      <c r="D39" s="444">
        <v>645</v>
      </c>
      <c r="E39" s="446"/>
      <c r="F39" s="444">
        <f>SUM(D39:E39)</f>
        <v>645</v>
      </c>
    </row>
    <row r="40" spans="3:6" x14ac:dyDescent="0.2">
      <c r="C40" s="440" t="s">
        <v>5</v>
      </c>
      <c r="D40" s="446"/>
      <c r="E40" s="446"/>
      <c r="F40" s="446"/>
    </row>
    <row r="41" spans="3:6" x14ac:dyDescent="0.2">
      <c r="C41" s="440" t="s">
        <v>314</v>
      </c>
      <c r="D41" s="446">
        <v>10</v>
      </c>
      <c r="E41" s="446">
        <v>21</v>
      </c>
      <c r="F41" s="446">
        <f>SUM(D41:E41)</f>
        <v>31</v>
      </c>
    </row>
    <row r="42" spans="3:6" x14ac:dyDescent="0.2">
      <c r="C42" s="440" t="s">
        <v>26</v>
      </c>
      <c r="D42" s="444">
        <v>312</v>
      </c>
      <c r="E42" s="446">
        <v>10</v>
      </c>
      <c r="F42" s="444">
        <f>SUM(D42:E42)</f>
        <v>322</v>
      </c>
    </row>
    <row r="43" spans="3:6" x14ac:dyDescent="0.2">
      <c r="C43" s="440" t="s">
        <v>25</v>
      </c>
      <c r="D43" s="444">
        <v>343</v>
      </c>
      <c r="E43" s="446">
        <v>11</v>
      </c>
      <c r="F43" s="444">
        <f>SUM(D43:E43)</f>
        <v>354</v>
      </c>
    </row>
    <row r="44" spans="3:6" x14ac:dyDescent="0.2">
      <c r="C44" s="443" t="s">
        <v>318</v>
      </c>
      <c r="D44" s="444">
        <v>2</v>
      </c>
      <c r="E44" s="446"/>
      <c r="F44" s="444">
        <f>SUM(D44:E44)</f>
        <v>2</v>
      </c>
    </row>
    <row r="45" spans="3:6" x14ac:dyDescent="0.2">
      <c r="C45" s="443"/>
      <c r="D45" s="444"/>
      <c r="E45" s="444"/>
      <c r="F45" s="444"/>
    </row>
    <row r="46" spans="3:6" x14ac:dyDescent="0.2">
      <c r="C46" s="438" t="s">
        <v>157</v>
      </c>
      <c r="D46" s="445">
        <f>SUM(D50,D51)</f>
        <v>83</v>
      </c>
      <c r="E46" s="445">
        <f>SUM(E50,E51)</f>
        <v>864</v>
      </c>
      <c r="F46" s="445">
        <f t="shared" ref="F46" si="3">SUM(F50,F51)</f>
        <v>947</v>
      </c>
    </row>
    <row r="47" spans="3:6" x14ac:dyDescent="0.2">
      <c r="C47" s="440" t="s">
        <v>4</v>
      </c>
      <c r="D47" s="347">
        <v>79</v>
      </c>
      <c r="E47" s="444">
        <v>858</v>
      </c>
      <c r="F47" s="347">
        <f>SUM(D47:E47)</f>
        <v>937</v>
      </c>
    </row>
    <row r="48" spans="3:6" x14ac:dyDescent="0.2">
      <c r="C48" s="440" t="s">
        <v>5</v>
      </c>
      <c r="D48" s="446"/>
      <c r="E48" s="446"/>
      <c r="F48" s="446"/>
    </row>
    <row r="49" spans="3:6" x14ac:dyDescent="0.2">
      <c r="C49" s="440" t="s">
        <v>314</v>
      </c>
      <c r="D49" s="446">
        <v>4</v>
      </c>
      <c r="E49" s="446">
        <v>6</v>
      </c>
      <c r="F49" s="446">
        <f>SUM(D49:E49)</f>
        <v>10</v>
      </c>
    </row>
    <row r="50" spans="3:6" x14ac:dyDescent="0.2">
      <c r="C50" s="440" t="s">
        <v>26</v>
      </c>
      <c r="D50" s="444">
        <v>43</v>
      </c>
      <c r="E50" s="444">
        <v>444</v>
      </c>
      <c r="F50" s="444">
        <f>SUM(D50:E50)</f>
        <v>487</v>
      </c>
    </row>
    <row r="51" spans="3:6" x14ac:dyDescent="0.2">
      <c r="C51" s="440" t="s">
        <v>25</v>
      </c>
      <c r="D51" s="444">
        <v>40</v>
      </c>
      <c r="E51" s="444">
        <v>420</v>
      </c>
      <c r="F51" s="444">
        <f>SUM(D51:E51)</f>
        <v>460</v>
      </c>
    </row>
    <row r="52" spans="3:6" x14ac:dyDescent="0.2">
      <c r="C52" s="443" t="s">
        <v>318</v>
      </c>
      <c r="D52" s="444">
        <v>1</v>
      </c>
      <c r="E52" s="444">
        <v>1</v>
      </c>
      <c r="F52" s="444">
        <f>SUM(D52:E52)</f>
        <v>2</v>
      </c>
    </row>
    <row r="53" spans="3:6" x14ac:dyDescent="0.2">
      <c r="C53" s="443"/>
      <c r="D53" s="444"/>
      <c r="E53" s="444"/>
      <c r="F53" s="444"/>
    </row>
    <row r="54" spans="3:6" x14ac:dyDescent="0.2">
      <c r="C54" s="438" t="s">
        <v>158</v>
      </c>
      <c r="D54" s="445">
        <f>SUM(D58:D59)</f>
        <v>66</v>
      </c>
      <c r="E54" s="445">
        <f t="shared" ref="E54:F54" si="4">SUM(E58:E59)</f>
        <v>1</v>
      </c>
      <c r="F54" s="445">
        <f t="shared" si="4"/>
        <v>67</v>
      </c>
    </row>
    <row r="55" spans="3:6" x14ac:dyDescent="0.2">
      <c r="C55" s="440" t="s">
        <v>4</v>
      </c>
      <c r="D55" s="444">
        <v>66</v>
      </c>
      <c r="E55" s="446"/>
      <c r="F55" s="444">
        <f>SUM(D55:E55)</f>
        <v>66</v>
      </c>
    </row>
    <row r="56" spans="3:6" x14ac:dyDescent="0.2">
      <c r="C56" s="440" t="s">
        <v>5</v>
      </c>
      <c r="D56" s="444"/>
      <c r="E56" s="446"/>
      <c r="F56" s="446"/>
    </row>
    <row r="57" spans="3:6" x14ac:dyDescent="0.2">
      <c r="C57" s="440" t="s">
        <v>314</v>
      </c>
      <c r="D57" s="444"/>
      <c r="E57" s="446">
        <v>1</v>
      </c>
      <c r="F57" s="446">
        <f>SUM(D57:E57)</f>
        <v>1</v>
      </c>
    </row>
    <row r="58" spans="3:6" x14ac:dyDescent="0.2">
      <c r="C58" s="440" t="s">
        <v>26</v>
      </c>
      <c r="D58" s="444">
        <v>28</v>
      </c>
      <c r="E58" s="446"/>
      <c r="F58" s="444">
        <f>SUM(D58:E58)</f>
        <v>28</v>
      </c>
    </row>
    <row r="59" spans="3:6" x14ac:dyDescent="0.2">
      <c r="C59" s="440" t="s">
        <v>25</v>
      </c>
      <c r="D59" s="444">
        <v>38</v>
      </c>
      <c r="E59" s="446">
        <v>1</v>
      </c>
      <c r="F59" s="444">
        <f>SUM(D59:E59)</f>
        <v>39</v>
      </c>
    </row>
    <row r="60" spans="3:6" x14ac:dyDescent="0.2">
      <c r="C60" s="443" t="s">
        <v>318</v>
      </c>
      <c r="D60" s="444">
        <v>1</v>
      </c>
      <c r="E60" s="446"/>
      <c r="F60" s="444">
        <f>SUM(D60:E60)</f>
        <v>1</v>
      </c>
    </row>
    <row r="61" spans="3:6" x14ac:dyDescent="0.2">
      <c r="C61" s="443"/>
      <c r="D61" s="444"/>
      <c r="E61" s="444"/>
      <c r="F61" s="444"/>
    </row>
    <row r="62" spans="3:6" x14ac:dyDescent="0.2">
      <c r="C62" s="438" t="s">
        <v>200</v>
      </c>
      <c r="D62" s="445">
        <f>SUM(D66:D67)</f>
        <v>124</v>
      </c>
      <c r="E62" s="445">
        <f>SUM(E66:E67)</f>
        <v>153</v>
      </c>
      <c r="F62" s="445">
        <f t="shared" ref="F62" si="5">SUM(F66:F67)</f>
        <v>277</v>
      </c>
    </row>
    <row r="63" spans="3:6" x14ac:dyDescent="0.2">
      <c r="C63" s="440" t="s">
        <v>4</v>
      </c>
      <c r="D63" s="444">
        <v>124</v>
      </c>
      <c r="E63" s="444">
        <v>152</v>
      </c>
      <c r="F63" s="444">
        <f>SUM(D63:E63)</f>
        <v>276</v>
      </c>
    </row>
    <row r="64" spans="3:6" x14ac:dyDescent="0.2">
      <c r="C64" s="440" t="s">
        <v>5</v>
      </c>
      <c r="D64" s="446"/>
      <c r="E64" s="446"/>
      <c r="F64" s="446"/>
    </row>
    <row r="65" spans="2:12" x14ac:dyDescent="0.2">
      <c r="C65" s="440" t="s">
        <v>314</v>
      </c>
      <c r="D65" s="446"/>
      <c r="E65" s="446">
        <v>1</v>
      </c>
      <c r="F65" s="446">
        <f>SUM(D65:E65)</f>
        <v>1</v>
      </c>
    </row>
    <row r="66" spans="2:12" x14ac:dyDescent="0.2">
      <c r="C66" s="440" t="s">
        <v>26</v>
      </c>
      <c r="D66" s="444">
        <v>63</v>
      </c>
      <c r="E66" s="444">
        <v>72</v>
      </c>
      <c r="F66" s="444">
        <f>SUM(D66:E66)</f>
        <v>135</v>
      </c>
    </row>
    <row r="67" spans="2:12" x14ac:dyDescent="0.2">
      <c r="C67" s="440" t="s">
        <v>25</v>
      </c>
      <c r="D67" s="444">
        <v>61</v>
      </c>
      <c r="E67" s="444">
        <v>81</v>
      </c>
      <c r="F67" s="444">
        <f>SUM(D67:E67)</f>
        <v>142</v>
      </c>
    </row>
    <row r="68" spans="2:12" x14ac:dyDescent="0.2">
      <c r="C68" s="443" t="s">
        <v>318</v>
      </c>
      <c r="D68" s="444">
        <v>4</v>
      </c>
      <c r="E68" s="444">
        <v>1</v>
      </c>
      <c r="F68" s="444">
        <f>SUM(D68:E68)</f>
        <v>5</v>
      </c>
    </row>
    <row r="70" spans="2:12" x14ac:dyDescent="0.2">
      <c r="C70" s="382" t="s">
        <v>118</v>
      </c>
      <c r="D70" s="447"/>
      <c r="E70" s="414"/>
      <c r="F70" s="447"/>
      <c r="G70" s="414"/>
      <c r="H70" s="414"/>
      <c r="I70" s="414"/>
      <c r="J70" s="414"/>
    </row>
    <row r="71" spans="2:12" ht="30" customHeight="1" x14ac:dyDescent="0.2">
      <c r="C71" s="616" t="s">
        <v>203</v>
      </c>
      <c r="D71" s="616"/>
      <c r="E71" s="616"/>
      <c r="F71" s="616"/>
      <c r="G71" s="616"/>
      <c r="H71" s="616"/>
      <c r="I71" s="562"/>
      <c r="J71" s="562"/>
    </row>
    <row r="72" spans="2:12" ht="18" customHeight="1" x14ac:dyDescent="0.2">
      <c r="C72" s="616" t="s">
        <v>221</v>
      </c>
      <c r="D72" s="616"/>
      <c r="E72" s="616"/>
      <c r="F72" s="616"/>
      <c r="G72" s="616"/>
      <c r="H72" s="616"/>
      <c r="I72" s="616"/>
      <c r="J72" s="616"/>
    </row>
    <row r="73" spans="2:12" ht="18" customHeight="1" x14ac:dyDescent="0.2">
      <c r="C73" s="562"/>
      <c r="D73" s="562"/>
      <c r="E73" s="562"/>
      <c r="F73" s="562"/>
      <c r="G73" s="562"/>
      <c r="H73" s="562"/>
      <c r="I73" s="562"/>
      <c r="J73" s="562"/>
    </row>
    <row r="74" spans="2:12" ht="18" customHeight="1" x14ac:dyDescent="0.2">
      <c r="C74" s="448" t="s">
        <v>311</v>
      </c>
      <c r="D74" s="562"/>
      <c r="E74" s="562"/>
      <c r="F74" s="562"/>
      <c r="G74" s="562"/>
      <c r="H74" s="562"/>
      <c r="I74" s="562"/>
      <c r="J74" s="562"/>
    </row>
    <row r="76" spans="2:12" s="280" customFormat="1" ht="9" customHeight="1" x14ac:dyDescent="0.2">
      <c r="L76" s="154"/>
    </row>
    <row r="77" spans="2:12" x14ac:dyDescent="0.2">
      <c r="B77" s="560"/>
      <c r="C77" s="560"/>
      <c r="D77" s="560"/>
      <c r="E77" s="560"/>
    </row>
  </sheetData>
  <mergeCells count="3">
    <mergeCell ref="C72:J72"/>
    <mergeCell ref="C10:G11"/>
    <mergeCell ref="C71:H71"/>
  </mergeCells>
  <phoneticPr fontId="0" type="noConversion"/>
  <pageMargins left="0.7" right="0.7" top="0.75" bottom="0.75" header="0.3" footer="0.3"/>
  <pageSetup scale="64" orientation="portrait" r:id="rId1"/>
  <colBreaks count="2" manualBreakCount="2">
    <brk id="13" max="69" man="1"/>
    <brk id="14" max="69" man="1"/>
  </colBreaks>
  <ignoredErrors>
    <ignoredError sqref="D54:E54 D62:E62" formulaRange="1"/>
    <ignoredError sqref="D17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3558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114300</xdr:rowOff>
              </from>
              <to>
                <xdr:col>1</xdr:col>
                <xdr:colOff>419100</xdr:colOff>
                <xdr:row>2</xdr:row>
                <xdr:rowOff>123825</xdr:rowOff>
              </to>
            </anchor>
          </objectPr>
        </oleObject>
      </mc:Choice>
      <mc:Fallback>
        <oleObject progId="MSPhotoEd.3" shapeId="23558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B2:Q61"/>
  <sheetViews>
    <sheetView zoomScaleNormal="100" zoomScaleSheetLayoutView="62" workbookViewId="0">
      <selection activeCell="J3" sqref="J3"/>
    </sheetView>
  </sheetViews>
  <sheetFormatPr defaultColWidth="9.140625" defaultRowHeight="14.25" x14ac:dyDescent="0.2"/>
  <cols>
    <col min="1" max="1" width="9.140625" style="282"/>
    <col min="2" max="3" width="10.7109375" style="282" customWidth="1"/>
    <col min="4" max="10" width="9.140625" style="282"/>
    <col min="11" max="11" width="9.5703125" style="282" bestFit="1" customWidth="1"/>
    <col min="12" max="12" width="9.140625" style="282" customWidth="1"/>
    <col min="13" max="16384" width="9.140625" style="282"/>
  </cols>
  <sheetData>
    <row r="2" spans="2:17" x14ac:dyDescent="0.2">
      <c r="H2" s="604" t="s">
        <v>340</v>
      </c>
      <c r="I2" s="604"/>
      <c r="J2" s="604"/>
      <c r="K2" s="604"/>
    </row>
    <row r="4" spans="2:17" ht="15" x14ac:dyDescent="0.25">
      <c r="H4" s="29"/>
      <c r="I4" s="29"/>
      <c r="J4" s="29"/>
      <c r="K4" s="349"/>
      <c r="L4" s="437"/>
    </row>
    <row r="5" spans="2:17" s="280" customFormat="1" ht="9" customHeight="1" x14ac:dyDescent="0.2"/>
    <row r="6" spans="2:17" s="280" customFormat="1" ht="12.75" x14ac:dyDescent="0.2">
      <c r="Q6" s="154"/>
    </row>
    <row r="7" spans="2:17" s="280" customFormat="1" ht="15.75" x14ac:dyDescent="0.25">
      <c r="B7" s="558"/>
      <c r="C7" s="558"/>
      <c r="D7" s="558"/>
      <c r="E7" s="558"/>
      <c r="F7" s="558"/>
      <c r="G7" s="558"/>
      <c r="H7" s="558"/>
      <c r="I7" s="558"/>
      <c r="J7" s="558"/>
      <c r="K7" s="558"/>
      <c r="L7" s="558"/>
      <c r="M7" s="405"/>
      <c r="N7" s="405"/>
      <c r="Q7" s="154"/>
    </row>
    <row r="8" spans="2:17" s="280" customFormat="1" ht="15.75" x14ac:dyDescent="0.25"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405"/>
      <c r="M8" s="405"/>
      <c r="N8" s="405"/>
      <c r="Q8" s="154"/>
    </row>
    <row r="9" spans="2:17" s="408" customFormat="1" ht="15" customHeight="1" x14ac:dyDescent="0.25">
      <c r="B9" s="449" t="s">
        <v>362</v>
      </c>
      <c r="C9" s="449"/>
      <c r="D9" s="282"/>
      <c r="E9" s="282"/>
      <c r="F9" s="282"/>
      <c r="G9" s="282"/>
      <c r="H9" s="282"/>
      <c r="I9" s="282"/>
      <c r="J9" s="282"/>
      <c r="K9" s="282"/>
      <c r="L9" s="282"/>
    </row>
    <row r="10" spans="2:17" s="408" customFormat="1" ht="15" customHeight="1" x14ac:dyDescent="0.25">
      <c r="B10" s="449"/>
      <c r="C10" s="449"/>
      <c r="D10" s="282"/>
      <c r="E10" s="282"/>
      <c r="F10" s="282"/>
      <c r="G10" s="282"/>
      <c r="H10" s="282"/>
      <c r="I10" s="282"/>
      <c r="J10" s="282"/>
      <c r="K10" s="282"/>
      <c r="L10" s="282"/>
    </row>
    <row r="11" spans="2:17" s="408" customFormat="1" ht="15" x14ac:dyDescent="0.25">
      <c r="B11" s="450"/>
      <c r="C11" s="346" t="s">
        <v>24</v>
      </c>
      <c r="D11" s="344"/>
      <c r="E11" s="344"/>
      <c r="F11" s="344"/>
      <c r="G11" s="344"/>
      <c r="H11" s="344"/>
      <c r="I11" s="344"/>
      <c r="J11" s="344"/>
      <c r="K11" s="344"/>
      <c r="L11" s="451"/>
    </row>
    <row r="12" spans="2:17" ht="30" x14ac:dyDescent="0.25">
      <c r="B12" s="452"/>
      <c r="C12" s="337" t="s">
        <v>226</v>
      </c>
      <c r="D12" s="338" t="s">
        <v>305</v>
      </c>
      <c r="E12" s="338" t="s">
        <v>300</v>
      </c>
      <c r="F12" s="338" t="s">
        <v>301</v>
      </c>
      <c r="G12" s="338" t="s">
        <v>302</v>
      </c>
      <c r="H12" s="338" t="s">
        <v>303</v>
      </c>
      <c r="I12" s="338" t="s">
        <v>304</v>
      </c>
      <c r="J12" s="338" t="s">
        <v>291</v>
      </c>
      <c r="K12" s="339" t="s">
        <v>24</v>
      </c>
      <c r="L12" s="412"/>
    </row>
    <row r="13" spans="2:17" ht="15" x14ac:dyDescent="0.25">
      <c r="B13" s="452"/>
      <c r="C13" s="363">
        <v>4</v>
      </c>
      <c r="D13" s="363">
        <f>SUM(D28,D43)</f>
        <v>10</v>
      </c>
      <c r="E13" s="363"/>
      <c r="F13" s="363"/>
      <c r="G13" s="363"/>
      <c r="H13" s="363"/>
      <c r="I13" s="363"/>
      <c r="J13" s="363"/>
      <c r="K13" s="340">
        <f t="shared" ref="D13:K24" si="0">SUM(K28,K43)</f>
        <v>10</v>
      </c>
      <c r="L13" s="412"/>
    </row>
    <row r="14" spans="2:17" ht="15" x14ac:dyDescent="0.25">
      <c r="B14" s="452"/>
      <c r="C14" s="363">
        <v>5</v>
      </c>
      <c r="D14" s="363">
        <f>SUM(D29,D44)</f>
        <v>617</v>
      </c>
      <c r="E14" s="363">
        <f t="shared" si="0"/>
        <v>30</v>
      </c>
      <c r="F14" s="363"/>
      <c r="G14" s="363"/>
      <c r="H14" s="363"/>
      <c r="I14" s="363"/>
      <c r="J14" s="363"/>
      <c r="K14" s="340">
        <f t="shared" si="0"/>
        <v>647</v>
      </c>
      <c r="L14" s="412"/>
    </row>
    <row r="15" spans="2:17" ht="15" x14ac:dyDescent="0.25">
      <c r="B15" s="452"/>
      <c r="C15" s="363">
        <v>6</v>
      </c>
      <c r="D15" s="363">
        <f t="shared" si="0"/>
        <v>67</v>
      </c>
      <c r="E15" s="363">
        <f t="shared" si="0"/>
        <v>511</v>
      </c>
      <c r="F15" s="363">
        <f t="shared" si="0"/>
        <v>26</v>
      </c>
      <c r="G15" s="363"/>
      <c r="H15" s="363"/>
      <c r="I15" s="363"/>
      <c r="J15" s="363"/>
      <c r="K15" s="340">
        <f t="shared" si="0"/>
        <v>604</v>
      </c>
      <c r="L15" s="412"/>
    </row>
    <row r="16" spans="2:17" ht="15" x14ac:dyDescent="0.25">
      <c r="B16" s="452"/>
      <c r="C16" s="363">
        <v>7</v>
      </c>
      <c r="D16" s="363"/>
      <c r="E16" s="363">
        <f t="shared" si="0"/>
        <v>155</v>
      </c>
      <c r="F16" s="363">
        <f t="shared" si="0"/>
        <v>651</v>
      </c>
      <c r="G16" s="363">
        <f t="shared" si="0"/>
        <v>14</v>
      </c>
      <c r="H16" s="363"/>
      <c r="I16" s="363"/>
      <c r="J16" s="363"/>
      <c r="K16" s="340">
        <f t="shared" si="0"/>
        <v>820</v>
      </c>
      <c r="L16" s="412"/>
    </row>
    <row r="17" spans="2:12" ht="15" x14ac:dyDescent="0.25">
      <c r="B17" s="452"/>
      <c r="C17" s="363">
        <v>8</v>
      </c>
      <c r="D17" s="363"/>
      <c r="E17" s="363">
        <f t="shared" si="0"/>
        <v>5</v>
      </c>
      <c r="F17" s="363">
        <f t="shared" si="0"/>
        <v>66</v>
      </c>
      <c r="G17" s="363">
        <f t="shared" si="0"/>
        <v>624</v>
      </c>
      <c r="H17" s="363">
        <f t="shared" si="0"/>
        <v>26</v>
      </c>
      <c r="I17" s="363"/>
      <c r="J17" s="363"/>
      <c r="K17" s="340">
        <f t="shared" si="0"/>
        <v>721</v>
      </c>
      <c r="L17" s="412"/>
    </row>
    <row r="18" spans="2:12" ht="15" x14ac:dyDescent="0.25">
      <c r="B18" s="452"/>
      <c r="C18" s="363">
        <v>9</v>
      </c>
      <c r="D18" s="363"/>
      <c r="E18" s="363">
        <f t="shared" si="0"/>
        <v>1</v>
      </c>
      <c r="F18" s="363">
        <f t="shared" si="0"/>
        <v>1</v>
      </c>
      <c r="G18" s="363">
        <f t="shared" si="0"/>
        <v>69</v>
      </c>
      <c r="H18" s="363">
        <f t="shared" si="0"/>
        <v>710</v>
      </c>
      <c r="I18" s="363">
        <f t="shared" si="0"/>
        <v>22</v>
      </c>
      <c r="J18" s="363">
        <f t="shared" si="0"/>
        <v>0</v>
      </c>
      <c r="K18" s="340">
        <f t="shared" si="0"/>
        <v>803</v>
      </c>
      <c r="L18" s="412"/>
    </row>
    <row r="19" spans="2:12" ht="15" x14ac:dyDescent="0.25">
      <c r="B19" s="452"/>
      <c r="C19" s="363">
        <v>10</v>
      </c>
      <c r="D19" s="363"/>
      <c r="E19" s="363"/>
      <c r="F19" s="363"/>
      <c r="G19" s="363">
        <f t="shared" si="0"/>
        <v>2</v>
      </c>
      <c r="H19" s="363">
        <f t="shared" si="0"/>
        <v>69</v>
      </c>
      <c r="I19" s="363">
        <f t="shared" si="0"/>
        <v>695</v>
      </c>
      <c r="J19" s="363">
        <f t="shared" si="0"/>
        <v>22</v>
      </c>
      <c r="K19" s="340">
        <f t="shared" si="0"/>
        <v>788</v>
      </c>
      <c r="L19" s="412"/>
    </row>
    <row r="20" spans="2:12" ht="15" x14ac:dyDescent="0.25">
      <c r="B20" s="452"/>
      <c r="C20" s="363">
        <v>11</v>
      </c>
      <c r="D20" s="363"/>
      <c r="E20" s="363"/>
      <c r="F20" s="363"/>
      <c r="G20" s="363"/>
      <c r="H20" s="363">
        <f t="shared" si="0"/>
        <v>1</v>
      </c>
      <c r="I20" s="363">
        <f t="shared" si="0"/>
        <v>58</v>
      </c>
      <c r="J20" s="363">
        <f t="shared" si="0"/>
        <v>55</v>
      </c>
      <c r="K20" s="340">
        <f t="shared" si="0"/>
        <v>114</v>
      </c>
      <c r="L20" s="412"/>
    </row>
    <row r="21" spans="2:12" ht="15" x14ac:dyDescent="0.25">
      <c r="B21" s="452"/>
      <c r="C21" s="363">
        <v>12</v>
      </c>
      <c r="D21" s="363"/>
      <c r="E21" s="363"/>
      <c r="F21" s="363"/>
      <c r="G21" s="363"/>
      <c r="H21" s="363"/>
      <c r="I21" s="363">
        <f t="shared" si="0"/>
        <v>4</v>
      </c>
      <c r="J21" s="363">
        <f t="shared" si="0"/>
        <v>4</v>
      </c>
      <c r="K21" s="340">
        <f t="shared" si="0"/>
        <v>8</v>
      </c>
      <c r="L21" s="412"/>
    </row>
    <row r="22" spans="2:12" ht="15" x14ac:dyDescent="0.25">
      <c r="B22" s="452"/>
      <c r="C22" s="363">
        <v>13</v>
      </c>
      <c r="D22" s="363"/>
      <c r="E22" s="363"/>
      <c r="F22" s="363"/>
      <c r="G22" s="363"/>
      <c r="H22" s="363"/>
      <c r="I22" s="363"/>
      <c r="J22" s="363"/>
      <c r="K22" s="363"/>
      <c r="L22" s="412"/>
    </row>
    <row r="23" spans="2:12" ht="15" x14ac:dyDescent="0.25">
      <c r="B23" s="452"/>
      <c r="C23" s="363">
        <v>14</v>
      </c>
      <c r="D23" s="363"/>
      <c r="E23" s="363"/>
      <c r="F23" s="363"/>
      <c r="G23" s="363"/>
      <c r="H23" s="363"/>
      <c r="I23" s="363"/>
      <c r="J23" s="363"/>
      <c r="K23" s="363"/>
      <c r="L23" s="412"/>
    </row>
    <row r="24" spans="2:12" ht="15" x14ac:dyDescent="0.25">
      <c r="B24" s="452"/>
      <c r="C24" s="340" t="s">
        <v>24</v>
      </c>
      <c r="D24" s="340">
        <f>SUM(D13:D23)</f>
        <v>694</v>
      </c>
      <c r="E24" s="363">
        <f t="shared" si="0"/>
        <v>702</v>
      </c>
      <c r="F24" s="363">
        <f t="shared" si="0"/>
        <v>744</v>
      </c>
      <c r="G24" s="363">
        <f t="shared" si="0"/>
        <v>709</v>
      </c>
      <c r="H24" s="340">
        <f t="shared" ref="H24:K24" si="1">SUM(H13:H23)</f>
        <v>806</v>
      </c>
      <c r="I24" s="363">
        <f t="shared" si="0"/>
        <v>779</v>
      </c>
      <c r="J24" s="363">
        <f t="shared" si="0"/>
        <v>81</v>
      </c>
      <c r="K24" s="340">
        <f t="shared" si="1"/>
        <v>4515</v>
      </c>
      <c r="L24" s="412"/>
    </row>
    <row r="25" spans="2:12" ht="15" x14ac:dyDescent="0.25">
      <c r="B25" s="452"/>
      <c r="C25" s="341"/>
      <c r="D25" s="341"/>
      <c r="E25" s="341"/>
      <c r="F25" s="341"/>
      <c r="G25" s="341"/>
      <c r="H25" s="341"/>
      <c r="I25" s="341"/>
      <c r="J25" s="341"/>
      <c r="K25" s="342"/>
      <c r="L25" s="412"/>
    </row>
    <row r="26" spans="2:12" ht="15" x14ac:dyDescent="0.25">
      <c r="B26" s="452"/>
      <c r="C26" s="343" t="s">
        <v>26</v>
      </c>
      <c r="D26" s="344"/>
      <c r="E26" s="344"/>
      <c r="F26" s="344"/>
      <c r="G26" s="344"/>
      <c r="H26" s="344"/>
      <c r="I26" s="344"/>
      <c r="J26" s="344"/>
      <c r="K26" s="345"/>
      <c r="L26" s="412"/>
    </row>
    <row r="27" spans="2:12" ht="30" x14ac:dyDescent="0.25">
      <c r="B27" s="452"/>
      <c r="C27" s="337" t="s">
        <v>226</v>
      </c>
      <c r="D27" s="338" t="s">
        <v>305</v>
      </c>
      <c r="E27" s="338" t="s">
        <v>300</v>
      </c>
      <c r="F27" s="338" t="s">
        <v>301</v>
      </c>
      <c r="G27" s="338" t="s">
        <v>302</v>
      </c>
      <c r="H27" s="338" t="s">
        <v>303</v>
      </c>
      <c r="I27" s="338" t="s">
        <v>304</v>
      </c>
      <c r="J27" s="338" t="s">
        <v>291</v>
      </c>
      <c r="K27" s="339" t="s">
        <v>24</v>
      </c>
      <c r="L27" s="412"/>
    </row>
    <row r="28" spans="2:12" ht="15" x14ac:dyDescent="0.25">
      <c r="B28" s="452"/>
      <c r="C28" s="363">
        <v>4</v>
      </c>
      <c r="D28" s="363">
        <v>5</v>
      </c>
      <c r="E28" s="363"/>
      <c r="F28" s="363"/>
      <c r="G28" s="363"/>
      <c r="H28" s="363"/>
      <c r="I28" s="363"/>
      <c r="J28" s="363"/>
      <c r="K28" s="340">
        <f t="shared" ref="K28:K36" si="2">SUM(D28:J28)</f>
        <v>5</v>
      </c>
      <c r="L28" s="412"/>
    </row>
    <row r="29" spans="2:12" ht="15" x14ac:dyDescent="0.25">
      <c r="B29" s="452"/>
      <c r="C29" s="363">
        <v>5</v>
      </c>
      <c r="D29" s="363">
        <v>315</v>
      </c>
      <c r="E29" s="363">
        <v>12</v>
      </c>
      <c r="F29" s="363"/>
      <c r="G29" s="363"/>
      <c r="H29" s="363"/>
      <c r="I29" s="363"/>
      <c r="J29" s="363"/>
      <c r="K29" s="340">
        <f t="shared" si="2"/>
        <v>327</v>
      </c>
      <c r="L29" s="412"/>
    </row>
    <row r="30" spans="2:12" ht="15" x14ac:dyDescent="0.25">
      <c r="B30" s="452"/>
      <c r="C30" s="363">
        <v>6</v>
      </c>
      <c r="D30" s="363">
        <v>33</v>
      </c>
      <c r="E30" s="363">
        <v>266</v>
      </c>
      <c r="F30" s="363">
        <v>14</v>
      </c>
      <c r="G30" s="363"/>
      <c r="H30" s="363"/>
      <c r="I30" s="363"/>
      <c r="J30" s="363"/>
      <c r="K30" s="340">
        <f t="shared" si="2"/>
        <v>313</v>
      </c>
      <c r="L30" s="412"/>
    </row>
    <row r="31" spans="2:12" ht="15" x14ac:dyDescent="0.25">
      <c r="B31" s="452"/>
      <c r="C31" s="363">
        <v>7</v>
      </c>
      <c r="D31" s="340"/>
      <c r="E31" s="363">
        <v>79</v>
      </c>
      <c r="F31" s="363">
        <v>340</v>
      </c>
      <c r="G31" s="363">
        <v>9</v>
      </c>
      <c r="H31" s="363"/>
      <c r="I31" s="363"/>
      <c r="J31" s="363"/>
      <c r="K31" s="340">
        <f t="shared" si="2"/>
        <v>428</v>
      </c>
      <c r="L31" s="412"/>
    </row>
    <row r="32" spans="2:12" ht="15" x14ac:dyDescent="0.25">
      <c r="B32" s="452"/>
      <c r="C32" s="363">
        <v>8</v>
      </c>
      <c r="D32" s="340"/>
      <c r="E32" s="340">
        <v>1</v>
      </c>
      <c r="F32" s="363">
        <v>26</v>
      </c>
      <c r="G32" s="363">
        <v>317</v>
      </c>
      <c r="H32" s="363">
        <v>16</v>
      </c>
      <c r="I32" s="363"/>
      <c r="J32" s="363"/>
      <c r="K32" s="340">
        <f t="shared" si="2"/>
        <v>360</v>
      </c>
      <c r="L32" s="412"/>
    </row>
    <row r="33" spans="2:12" ht="15" x14ac:dyDescent="0.25">
      <c r="B33" s="452"/>
      <c r="C33" s="363">
        <v>9</v>
      </c>
      <c r="D33" s="340"/>
      <c r="E33" s="340"/>
      <c r="F33" s="340">
        <v>1</v>
      </c>
      <c r="G33" s="363">
        <v>26</v>
      </c>
      <c r="H33" s="363">
        <v>356</v>
      </c>
      <c r="I33" s="363">
        <v>13</v>
      </c>
      <c r="J33" s="363"/>
      <c r="K33" s="340">
        <f t="shared" si="2"/>
        <v>396</v>
      </c>
      <c r="L33" s="412"/>
    </row>
    <row r="34" spans="2:12" ht="15" x14ac:dyDescent="0.25">
      <c r="B34" s="452"/>
      <c r="C34" s="363">
        <v>10</v>
      </c>
      <c r="D34" s="340"/>
      <c r="E34" s="340"/>
      <c r="F34" s="340"/>
      <c r="G34" s="340"/>
      <c r="H34" s="363">
        <v>27</v>
      </c>
      <c r="I34" s="363">
        <v>349</v>
      </c>
      <c r="J34" s="363">
        <v>8</v>
      </c>
      <c r="K34" s="340">
        <f t="shared" si="2"/>
        <v>384</v>
      </c>
      <c r="L34" s="412"/>
    </row>
    <row r="35" spans="2:12" ht="15" x14ac:dyDescent="0.25">
      <c r="B35" s="452"/>
      <c r="C35" s="363">
        <v>11</v>
      </c>
      <c r="D35" s="340"/>
      <c r="E35" s="340"/>
      <c r="F35" s="340"/>
      <c r="G35" s="340"/>
      <c r="H35" s="340"/>
      <c r="I35" s="363">
        <v>29</v>
      </c>
      <c r="J35" s="363">
        <v>24</v>
      </c>
      <c r="K35" s="340">
        <f t="shared" si="2"/>
        <v>53</v>
      </c>
      <c r="L35" s="412"/>
    </row>
    <row r="36" spans="2:12" ht="15" x14ac:dyDescent="0.25">
      <c r="B36" s="452"/>
      <c r="C36" s="363">
        <v>12</v>
      </c>
      <c r="D36" s="340"/>
      <c r="E36" s="340"/>
      <c r="F36" s="340"/>
      <c r="G36" s="340"/>
      <c r="H36" s="340"/>
      <c r="I36" s="363"/>
      <c r="J36" s="363">
        <v>1</v>
      </c>
      <c r="K36" s="340">
        <f t="shared" si="2"/>
        <v>1</v>
      </c>
      <c r="L36" s="412"/>
    </row>
    <row r="37" spans="2:12" ht="15" x14ac:dyDescent="0.25">
      <c r="B37" s="452"/>
      <c r="C37" s="363">
        <v>13</v>
      </c>
      <c r="D37" s="340"/>
      <c r="E37" s="340"/>
      <c r="F37" s="340"/>
      <c r="G37" s="340"/>
      <c r="H37" s="340"/>
      <c r="I37" s="363"/>
      <c r="J37" s="363"/>
      <c r="K37" s="340">
        <v>0</v>
      </c>
      <c r="L37" s="412"/>
    </row>
    <row r="38" spans="2:12" ht="15" x14ac:dyDescent="0.25">
      <c r="B38" s="452"/>
      <c r="C38" s="363">
        <v>14</v>
      </c>
      <c r="D38" s="340"/>
      <c r="E38" s="340"/>
      <c r="F38" s="340"/>
      <c r="G38" s="340"/>
      <c r="H38" s="340"/>
      <c r="I38" s="340"/>
      <c r="J38" s="340"/>
      <c r="K38" s="340">
        <v>0</v>
      </c>
      <c r="L38" s="412"/>
    </row>
    <row r="39" spans="2:12" ht="15" x14ac:dyDescent="0.25">
      <c r="B39" s="452"/>
      <c r="C39" s="340" t="s">
        <v>24</v>
      </c>
      <c r="D39" s="340">
        <f>SUM(D28:D38)</f>
        <v>353</v>
      </c>
      <c r="E39" s="340">
        <f>SUM(E28:E38)</f>
        <v>358</v>
      </c>
      <c r="F39" s="340">
        <f>SUM(F28:F38)</f>
        <v>381</v>
      </c>
      <c r="G39" s="340">
        <f t="shared" ref="G39:K39" si="3">SUM(G28:G38)</f>
        <v>352</v>
      </c>
      <c r="H39" s="340">
        <f t="shared" si="3"/>
        <v>399</v>
      </c>
      <c r="I39" s="340">
        <f t="shared" si="3"/>
        <v>391</v>
      </c>
      <c r="J39" s="340">
        <f t="shared" si="3"/>
        <v>33</v>
      </c>
      <c r="K39" s="340">
        <f t="shared" si="3"/>
        <v>2267</v>
      </c>
      <c r="L39" s="453"/>
    </row>
    <row r="40" spans="2:12" ht="15" x14ac:dyDescent="0.25">
      <c r="B40" s="452"/>
      <c r="C40" s="342"/>
      <c r="D40" s="342"/>
      <c r="E40" s="342"/>
      <c r="F40" s="342"/>
      <c r="G40" s="342"/>
      <c r="H40" s="342"/>
      <c r="I40" s="342"/>
      <c r="J40" s="342"/>
      <c r="K40" s="342"/>
      <c r="L40" s="412"/>
    </row>
    <row r="41" spans="2:12" ht="15" x14ac:dyDescent="0.25">
      <c r="B41" s="452"/>
      <c r="C41" s="346" t="s">
        <v>25</v>
      </c>
      <c r="D41" s="344"/>
      <c r="E41" s="344"/>
      <c r="F41" s="344"/>
      <c r="G41" s="344"/>
      <c r="H41" s="344"/>
      <c r="I41" s="344"/>
      <c r="J41" s="344"/>
      <c r="K41" s="345"/>
      <c r="L41" s="412"/>
    </row>
    <row r="42" spans="2:12" ht="30" x14ac:dyDescent="0.25">
      <c r="B42" s="452"/>
      <c r="C42" s="337" t="s">
        <v>226</v>
      </c>
      <c r="D42" s="338" t="s">
        <v>305</v>
      </c>
      <c r="E42" s="338" t="s">
        <v>300</v>
      </c>
      <c r="F42" s="338" t="s">
        <v>301</v>
      </c>
      <c r="G42" s="338" t="s">
        <v>302</v>
      </c>
      <c r="H42" s="338" t="s">
        <v>303</v>
      </c>
      <c r="I42" s="338" t="s">
        <v>304</v>
      </c>
      <c r="J42" s="338" t="s">
        <v>291</v>
      </c>
      <c r="K42" s="339" t="s">
        <v>24</v>
      </c>
      <c r="L42" s="412"/>
    </row>
    <row r="43" spans="2:12" ht="15" x14ac:dyDescent="0.25">
      <c r="B43" s="452"/>
      <c r="C43" s="363">
        <v>4</v>
      </c>
      <c r="D43" s="363">
        <v>5</v>
      </c>
      <c r="E43" s="363"/>
      <c r="F43" s="363"/>
      <c r="G43" s="363"/>
      <c r="H43" s="363"/>
      <c r="I43" s="363"/>
      <c r="J43" s="363"/>
      <c r="K43" s="340">
        <f t="shared" ref="K43:K51" si="4">SUM(D43:J43)</f>
        <v>5</v>
      </c>
      <c r="L43" s="412"/>
    </row>
    <row r="44" spans="2:12" ht="15" x14ac:dyDescent="0.25">
      <c r="B44" s="452"/>
      <c r="C44" s="363">
        <v>5</v>
      </c>
      <c r="D44" s="363">
        <v>302</v>
      </c>
      <c r="E44" s="363">
        <v>18</v>
      </c>
      <c r="F44" s="363"/>
      <c r="G44" s="363"/>
      <c r="H44" s="363"/>
      <c r="I44" s="363"/>
      <c r="J44" s="363"/>
      <c r="K44" s="340">
        <f t="shared" si="4"/>
        <v>320</v>
      </c>
      <c r="L44" s="454"/>
    </row>
    <row r="45" spans="2:12" ht="15" x14ac:dyDescent="0.25">
      <c r="B45" s="452"/>
      <c r="C45" s="363">
        <v>6</v>
      </c>
      <c r="D45" s="363">
        <v>34</v>
      </c>
      <c r="E45" s="363">
        <v>245</v>
      </c>
      <c r="F45" s="363">
        <v>12</v>
      </c>
      <c r="G45" s="363"/>
      <c r="H45" s="363"/>
      <c r="I45" s="363"/>
      <c r="J45" s="363"/>
      <c r="K45" s="340">
        <f t="shared" si="4"/>
        <v>291</v>
      </c>
      <c r="L45" s="454"/>
    </row>
    <row r="46" spans="2:12" ht="15" x14ac:dyDescent="0.25">
      <c r="B46" s="452"/>
      <c r="C46" s="363">
        <v>7</v>
      </c>
      <c r="D46" s="363"/>
      <c r="E46" s="363">
        <v>76</v>
      </c>
      <c r="F46" s="363">
        <v>311</v>
      </c>
      <c r="G46" s="363">
        <v>5</v>
      </c>
      <c r="H46" s="363"/>
      <c r="I46" s="363"/>
      <c r="J46" s="363"/>
      <c r="K46" s="340">
        <f t="shared" si="4"/>
        <v>392</v>
      </c>
      <c r="L46" s="452"/>
    </row>
    <row r="47" spans="2:12" s="408" customFormat="1" ht="15" customHeight="1" x14ac:dyDescent="0.25">
      <c r="B47" s="455"/>
      <c r="C47" s="363">
        <v>8</v>
      </c>
      <c r="D47" s="363"/>
      <c r="E47" s="363">
        <v>4</v>
      </c>
      <c r="F47" s="363">
        <v>40</v>
      </c>
      <c r="G47" s="363">
        <v>307</v>
      </c>
      <c r="H47" s="363">
        <v>10</v>
      </c>
      <c r="I47" s="363"/>
      <c r="J47" s="363"/>
      <c r="K47" s="340">
        <f t="shared" si="4"/>
        <v>361</v>
      </c>
      <c r="L47" s="452"/>
    </row>
    <row r="48" spans="2:12" s="408" customFormat="1" ht="15" customHeight="1" x14ac:dyDescent="0.25">
      <c r="B48" s="455"/>
      <c r="C48" s="363">
        <v>9</v>
      </c>
      <c r="D48" s="363"/>
      <c r="E48" s="363">
        <v>1</v>
      </c>
      <c r="F48" s="363"/>
      <c r="G48" s="363">
        <v>43</v>
      </c>
      <c r="H48" s="363">
        <v>354</v>
      </c>
      <c r="I48" s="363">
        <v>9</v>
      </c>
      <c r="J48" s="363"/>
      <c r="K48" s="340">
        <f t="shared" si="4"/>
        <v>407</v>
      </c>
      <c r="L48" s="452"/>
    </row>
    <row r="49" spans="2:12" s="408" customFormat="1" ht="15" x14ac:dyDescent="0.25">
      <c r="B49" s="450"/>
      <c r="C49" s="363">
        <v>10</v>
      </c>
      <c r="D49" s="363"/>
      <c r="E49" s="363"/>
      <c r="F49" s="363"/>
      <c r="G49" s="363">
        <v>2</v>
      </c>
      <c r="H49" s="363">
        <v>42</v>
      </c>
      <c r="I49" s="363">
        <v>346</v>
      </c>
      <c r="J49" s="363">
        <v>14</v>
      </c>
      <c r="K49" s="340">
        <f t="shared" si="4"/>
        <v>404</v>
      </c>
      <c r="L49" s="456"/>
    </row>
    <row r="50" spans="2:12" s="408" customFormat="1" ht="15" x14ac:dyDescent="0.25">
      <c r="B50" s="450"/>
      <c r="C50" s="363">
        <v>11</v>
      </c>
      <c r="D50" s="363"/>
      <c r="E50" s="363"/>
      <c r="F50" s="363"/>
      <c r="G50" s="363"/>
      <c r="H50" s="363">
        <v>1</v>
      </c>
      <c r="I50" s="363">
        <v>29</v>
      </c>
      <c r="J50" s="363">
        <v>31</v>
      </c>
      <c r="K50" s="340">
        <f t="shared" si="4"/>
        <v>61</v>
      </c>
      <c r="L50" s="451"/>
    </row>
    <row r="51" spans="2:12" ht="15" x14ac:dyDescent="0.25">
      <c r="B51" s="452"/>
      <c r="C51" s="363">
        <v>12</v>
      </c>
      <c r="D51" s="363"/>
      <c r="E51" s="363"/>
      <c r="F51" s="363"/>
      <c r="G51" s="363"/>
      <c r="H51" s="363"/>
      <c r="I51" s="363">
        <v>4</v>
      </c>
      <c r="J51" s="363">
        <v>3</v>
      </c>
      <c r="K51" s="340">
        <f t="shared" si="4"/>
        <v>7</v>
      </c>
      <c r="L51" s="412"/>
    </row>
    <row r="52" spans="2:12" ht="15" x14ac:dyDescent="0.25">
      <c r="B52" s="452"/>
      <c r="C52" s="363">
        <v>13</v>
      </c>
      <c r="D52" s="363"/>
      <c r="E52" s="363"/>
      <c r="F52" s="363"/>
      <c r="G52" s="363"/>
      <c r="H52" s="363"/>
      <c r="I52" s="363"/>
      <c r="J52" s="363"/>
      <c r="K52" s="363"/>
      <c r="L52" s="412"/>
    </row>
    <row r="53" spans="2:12" ht="15" x14ac:dyDescent="0.25">
      <c r="B53" s="452"/>
      <c r="C53" s="363">
        <v>14</v>
      </c>
      <c r="D53" s="363"/>
      <c r="E53" s="363"/>
      <c r="F53" s="363"/>
      <c r="G53" s="363"/>
      <c r="H53" s="363"/>
      <c r="I53" s="363"/>
      <c r="J53" s="363"/>
      <c r="K53" s="363"/>
      <c r="L53" s="412"/>
    </row>
    <row r="54" spans="2:12" x14ac:dyDescent="0.2">
      <c r="B54" s="452"/>
      <c r="C54" s="347" t="s">
        <v>24</v>
      </c>
      <c r="D54" s="347">
        <f>SUM(D43:D53)</f>
        <v>341</v>
      </c>
      <c r="E54" s="347">
        <f>SUM(E43:E53)</f>
        <v>344</v>
      </c>
      <c r="F54" s="347">
        <f t="shared" ref="F54:K54" si="5">SUM(F43:F53)</f>
        <v>363</v>
      </c>
      <c r="G54" s="347">
        <f t="shared" si="5"/>
        <v>357</v>
      </c>
      <c r="H54" s="347">
        <f t="shared" si="5"/>
        <v>407</v>
      </c>
      <c r="I54" s="347">
        <f t="shared" si="5"/>
        <v>388</v>
      </c>
      <c r="J54" s="347">
        <f t="shared" si="5"/>
        <v>48</v>
      </c>
      <c r="K54" s="347">
        <f t="shared" si="5"/>
        <v>2248</v>
      </c>
      <c r="L54" s="454"/>
    </row>
    <row r="55" spans="2:12" x14ac:dyDescent="0.2">
      <c r="B55" s="452"/>
      <c r="C55" s="412"/>
      <c r="D55" s="412"/>
      <c r="E55" s="454"/>
      <c r="F55" s="412"/>
      <c r="G55" s="412"/>
      <c r="H55" s="454"/>
      <c r="I55" s="412"/>
      <c r="J55" s="412"/>
      <c r="K55" s="412"/>
      <c r="L55" s="454"/>
    </row>
    <row r="56" spans="2:12" x14ac:dyDescent="0.2">
      <c r="C56" s="382" t="s">
        <v>187</v>
      </c>
      <c r="D56" s="414"/>
      <c r="L56" s="435"/>
    </row>
    <row r="57" spans="2:12" x14ac:dyDescent="0.2">
      <c r="B57" s="436"/>
      <c r="C57" s="436"/>
      <c r="L57" s="436"/>
    </row>
    <row r="58" spans="2:12" ht="44.25" customHeight="1" x14ac:dyDescent="0.2">
      <c r="B58" s="436"/>
      <c r="C58" s="610" t="s">
        <v>299</v>
      </c>
      <c r="D58" s="610"/>
      <c r="E58" s="610"/>
      <c r="F58" s="610"/>
      <c r="G58" s="610"/>
      <c r="H58" s="610"/>
      <c r="I58" s="610"/>
      <c r="J58" s="610"/>
      <c r="K58" s="610"/>
      <c r="L58" s="436"/>
    </row>
    <row r="59" spans="2:12" ht="13.5" customHeight="1" x14ac:dyDescent="0.2">
      <c r="B59" s="436"/>
      <c r="C59" s="610"/>
      <c r="D59" s="610"/>
      <c r="E59" s="610"/>
      <c r="F59" s="610"/>
      <c r="G59" s="610"/>
      <c r="H59" s="610"/>
      <c r="I59" s="610"/>
      <c r="J59" s="610"/>
      <c r="K59" s="610"/>
      <c r="L59" s="436"/>
    </row>
    <row r="60" spans="2:12" x14ac:dyDescent="0.2"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</row>
    <row r="61" spans="2:12" x14ac:dyDescent="0.2">
      <c r="B61" s="421"/>
      <c r="C61" s="618"/>
      <c r="D61" s="618"/>
      <c r="E61" s="618"/>
      <c r="F61" s="618"/>
      <c r="G61" s="618"/>
      <c r="H61" s="618"/>
      <c r="I61" s="618"/>
      <c r="J61" s="618"/>
      <c r="K61" s="618"/>
      <c r="L61" s="421"/>
    </row>
  </sheetData>
  <mergeCells count="4">
    <mergeCell ref="C58:K58"/>
    <mergeCell ref="C59:K59"/>
    <mergeCell ref="C61:K61"/>
    <mergeCell ref="H2:K2"/>
  </mergeCells>
  <pageMargins left="0.7" right="0.7" top="0.75" bottom="0.75" header="0.3" footer="0.3"/>
  <pageSetup scale="72" orientation="portrait" r:id="rId1"/>
  <ignoredErrors>
    <ignoredError sqref="K28:K36 K43:K51" formulaRange="1"/>
    <ignoredError sqref="H2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687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1</xdr:col>
                <xdr:colOff>533400</xdr:colOff>
                <xdr:row>3</xdr:row>
                <xdr:rowOff>47625</xdr:rowOff>
              </to>
            </anchor>
          </objectPr>
        </oleObject>
      </mc:Choice>
      <mc:Fallback>
        <oleObject progId="MSPhotoEd.3" shapeId="36872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0"/>
  <sheetViews>
    <sheetView zoomScaleNormal="100" workbookViewId="0">
      <selection activeCell="L5" sqref="L5"/>
    </sheetView>
  </sheetViews>
  <sheetFormatPr defaultRowHeight="12.75" x14ac:dyDescent="0.2"/>
  <cols>
    <col min="1" max="11" width="9.140625" style="29"/>
    <col min="12" max="12" width="9.5703125" style="29" bestFit="1" customWidth="1"/>
    <col min="13" max="16384" width="9.140625" style="29"/>
  </cols>
  <sheetData>
    <row r="1" spans="1:13" ht="14.25" x14ac:dyDescent="0.2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ht="14.25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13" ht="14.25" x14ac:dyDescent="0.2">
      <c r="A3" s="282"/>
      <c r="B3" s="282"/>
      <c r="C3" s="282"/>
      <c r="D3" s="282"/>
      <c r="E3" s="282"/>
      <c r="F3" s="282"/>
      <c r="G3" s="282"/>
      <c r="H3" s="282"/>
      <c r="I3" s="604" t="s">
        <v>340</v>
      </c>
      <c r="J3" s="604"/>
      <c r="K3" s="604"/>
      <c r="L3" s="604"/>
    </row>
    <row r="4" spans="1:13" ht="15" x14ac:dyDescent="0.25">
      <c r="A4" s="282"/>
      <c r="B4" s="282"/>
      <c r="C4" s="282"/>
      <c r="D4" s="282"/>
      <c r="E4" s="282"/>
      <c r="F4" s="282"/>
      <c r="G4" s="282"/>
      <c r="H4" s="282"/>
      <c r="I4" s="282"/>
      <c r="L4" s="349"/>
      <c r="M4" s="437"/>
    </row>
    <row r="5" spans="1:13" x14ac:dyDescent="0.2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</row>
    <row r="6" spans="1:13" x14ac:dyDescent="0.2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</row>
    <row r="7" spans="1:13" ht="15.75" x14ac:dyDescent="0.25">
      <c r="A7" s="609" t="s">
        <v>346</v>
      </c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</row>
    <row r="8" spans="1:13" ht="15.75" x14ac:dyDescent="0.25">
      <c r="A8" s="367"/>
      <c r="B8" s="367"/>
      <c r="C8" s="566"/>
      <c r="D8" s="367"/>
      <c r="E8" s="367"/>
      <c r="F8" s="367"/>
      <c r="G8" s="367"/>
      <c r="H8" s="367"/>
      <c r="I8" s="367"/>
      <c r="J8" s="367"/>
      <c r="K8" s="367"/>
      <c r="L8" s="367"/>
      <c r="M8" s="405"/>
    </row>
    <row r="9" spans="1:13" ht="30" customHeight="1" x14ac:dyDescent="0.25">
      <c r="B9" s="567"/>
      <c r="C9" s="567"/>
      <c r="D9" s="619" t="s">
        <v>363</v>
      </c>
      <c r="E9" s="619"/>
      <c r="F9" s="619"/>
      <c r="G9" s="619"/>
      <c r="H9" s="619"/>
      <c r="I9" s="619"/>
      <c r="J9" s="619"/>
      <c r="K9" s="619"/>
      <c r="L9" s="619"/>
      <c r="M9" s="567"/>
    </row>
    <row r="10" spans="1:13" ht="15" x14ac:dyDescent="0.25">
      <c r="A10" s="449"/>
      <c r="B10" s="449"/>
      <c r="C10" s="449"/>
      <c r="D10" s="449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3" ht="15" x14ac:dyDescent="0.25">
      <c r="A11" s="450"/>
      <c r="B11" s="450"/>
      <c r="C11" s="450"/>
      <c r="D11" s="346" t="s">
        <v>24</v>
      </c>
      <c r="E11" s="344"/>
      <c r="F11" s="344"/>
      <c r="G11" s="344"/>
      <c r="H11" s="344"/>
      <c r="I11" s="344"/>
      <c r="J11" s="344"/>
      <c r="K11" s="344"/>
      <c r="L11" s="344"/>
      <c r="M11" s="451"/>
    </row>
    <row r="12" spans="1:13" ht="15" x14ac:dyDescent="0.25">
      <c r="A12" s="452"/>
      <c r="B12" s="452"/>
      <c r="C12" s="452"/>
      <c r="D12" s="337" t="s">
        <v>239</v>
      </c>
      <c r="E12" s="339" t="s">
        <v>240</v>
      </c>
      <c r="F12" s="339" t="s">
        <v>241</v>
      </c>
      <c r="G12" s="339" t="s">
        <v>242</v>
      </c>
      <c r="H12" s="339" t="s">
        <v>243</v>
      </c>
      <c r="I12" s="339" t="s">
        <v>244</v>
      </c>
      <c r="J12" s="339" t="s">
        <v>245</v>
      </c>
      <c r="K12" s="339" t="s">
        <v>246</v>
      </c>
      <c r="L12" s="339" t="s">
        <v>24</v>
      </c>
      <c r="M12" s="412"/>
    </row>
    <row r="13" spans="1:13" ht="15" x14ac:dyDescent="0.25">
      <c r="A13" s="452"/>
      <c r="B13" s="452"/>
      <c r="C13" s="452"/>
      <c r="D13" s="363">
        <v>10</v>
      </c>
      <c r="E13" s="363">
        <f>SUM(E43,E28)</f>
        <v>64</v>
      </c>
      <c r="F13" s="363"/>
      <c r="G13" s="363"/>
      <c r="H13" s="363"/>
      <c r="I13" s="363"/>
      <c r="J13" s="363"/>
      <c r="K13" s="363"/>
      <c r="L13" s="457">
        <f>SUM(L43,L28)</f>
        <v>64</v>
      </c>
      <c r="M13" s="412"/>
    </row>
    <row r="14" spans="1:13" ht="15" x14ac:dyDescent="0.25">
      <c r="A14" s="452"/>
      <c r="B14" s="452"/>
      <c r="C14" s="452"/>
      <c r="D14" s="363">
        <v>11</v>
      </c>
      <c r="E14" s="363">
        <f>SUM(E44,E29)</f>
        <v>594</v>
      </c>
      <c r="F14" s="363">
        <f>SUM(F44,F29)</f>
        <v>13</v>
      </c>
      <c r="G14" s="363"/>
      <c r="H14" s="363"/>
      <c r="I14" s="363"/>
      <c r="J14" s="363"/>
      <c r="K14" s="363"/>
      <c r="L14" s="457">
        <f>SUM(L44,L29)</f>
        <v>607</v>
      </c>
      <c r="M14" s="412"/>
    </row>
    <row r="15" spans="1:13" ht="15" x14ac:dyDescent="0.25">
      <c r="A15" s="452"/>
      <c r="B15" s="452"/>
      <c r="C15" s="452"/>
      <c r="D15" s="363">
        <v>12</v>
      </c>
      <c r="E15" s="363">
        <f>SUM(E45,E30)</f>
        <v>51</v>
      </c>
      <c r="F15" s="363">
        <f>SUM(F45,F30)</f>
        <v>695</v>
      </c>
      <c r="G15" s="363">
        <f>SUM(G45,G30)</f>
        <v>12</v>
      </c>
      <c r="H15" s="363"/>
      <c r="I15" s="363"/>
      <c r="J15" s="363"/>
      <c r="K15" s="363"/>
      <c r="L15" s="457">
        <f>SUM(L45,L30)</f>
        <v>758</v>
      </c>
      <c r="M15" s="412"/>
    </row>
    <row r="16" spans="1:13" ht="15" x14ac:dyDescent="0.25">
      <c r="A16" s="452"/>
      <c r="B16" s="452"/>
      <c r="C16" s="452"/>
      <c r="D16" s="363">
        <v>13</v>
      </c>
      <c r="E16" s="363">
        <f>SUM(E46,E31)</f>
        <v>4</v>
      </c>
      <c r="F16" s="363">
        <f>SUM(F46,F31)</f>
        <v>75</v>
      </c>
      <c r="G16" s="363">
        <f>SUM(G46,G31)</f>
        <v>693</v>
      </c>
      <c r="H16" s="363">
        <f>SUM(H46,H31)</f>
        <v>19</v>
      </c>
      <c r="I16" s="363"/>
      <c r="J16" s="363"/>
      <c r="K16" s="363"/>
      <c r="L16" s="457">
        <v>791</v>
      </c>
      <c r="M16" s="412"/>
    </row>
    <row r="17" spans="1:13" ht="15" x14ac:dyDescent="0.25">
      <c r="A17" s="452"/>
      <c r="B17" s="452"/>
      <c r="C17" s="452"/>
      <c r="D17" s="363">
        <v>14</v>
      </c>
      <c r="E17" s="363"/>
      <c r="F17" s="363">
        <f>SUM(F47,F32)</f>
        <v>6</v>
      </c>
      <c r="G17" s="363">
        <f>SUM(G47,G32)</f>
        <v>65</v>
      </c>
      <c r="H17" s="363">
        <f>SUM(H47,H32)</f>
        <v>586</v>
      </c>
      <c r="I17" s="363">
        <f>SUM(I47,I32)</f>
        <v>79</v>
      </c>
      <c r="J17" s="363"/>
      <c r="K17" s="363"/>
      <c r="L17" s="457">
        <f>SUM(L47,L32)</f>
        <v>736</v>
      </c>
      <c r="M17" s="412"/>
    </row>
    <row r="18" spans="1:13" ht="15" x14ac:dyDescent="0.25">
      <c r="A18" s="452"/>
      <c r="B18" s="452"/>
      <c r="C18" s="452"/>
      <c r="D18" s="363">
        <v>15</v>
      </c>
      <c r="E18" s="363"/>
      <c r="F18" s="363"/>
      <c r="G18" s="363">
        <f>SUM(G48,G33)</f>
        <v>5</v>
      </c>
      <c r="H18" s="363">
        <f>SUM(H48,H33)</f>
        <v>82</v>
      </c>
      <c r="I18" s="363">
        <f>SUM(I48,I33)</f>
        <v>487</v>
      </c>
      <c r="J18" s="363">
        <f>SUM(J48,J33)</f>
        <v>117</v>
      </c>
      <c r="K18" s="363"/>
      <c r="L18" s="457">
        <f>SUM(L48,L33)</f>
        <v>691</v>
      </c>
      <c r="M18" s="412"/>
    </row>
    <row r="19" spans="1:13" ht="15" x14ac:dyDescent="0.25">
      <c r="A19" s="452"/>
      <c r="B19" s="452"/>
      <c r="C19" s="452"/>
      <c r="D19" s="363">
        <v>16</v>
      </c>
      <c r="E19" s="363"/>
      <c r="F19" s="363"/>
      <c r="G19" s="363"/>
      <c r="H19" s="363">
        <f>SUM(H49,H34)</f>
        <v>5</v>
      </c>
      <c r="I19" s="363">
        <f>SUM(I49,I34)</f>
        <v>87</v>
      </c>
      <c r="J19" s="363">
        <f>SUM(J49,J34)</f>
        <v>463</v>
      </c>
      <c r="K19" s="363">
        <f>SUM(K49,K34)</f>
        <v>23</v>
      </c>
      <c r="L19" s="457">
        <f>SUM(L49,L34)</f>
        <v>578</v>
      </c>
      <c r="M19" s="412"/>
    </row>
    <row r="20" spans="1:13" ht="15" x14ac:dyDescent="0.25">
      <c r="A20" s="452"/>
      <c r="B20" s="452"/>
      <c r="C20" s="452"/>
      <c r="D20" s="363">
        <v>17</v>
      </c>
      <c r="E20" s="363"/>
      <c r="F20" s="363"/>
      <c r="G20" s="363"/>
      <c r="H20" s="363"/>
      <c r="I20" s="363">
        <f>SUM(I50,I35)</f>
        <v>5</v>
      </c>
      <c r="J20" s="363">
        <f>SUM(J50,J35)</f>
        <v>95</v>
      </c>
      <c r="K20" s="363">
        <f>SUM(K50,K35)</f>
        <v>161</v>
      </c>
      <c r="L20" s="457">
        <f>SUM(L50,L35)</f>
        <v>261</v>
      </c>
      <c r="M20" s="412"/>
    </row>
    <row r="21" spans="1:13" ht="15" x14ac:dyDescent="0.25">
      <c r="A21" s="452"/>
      <c r="B21" s="452"/>
      <c r="C21" s="452"/>
      <c r="D21" s="363">
        <v>18</v>
      </c>
      <c r="E21" s="363"/>
      <c r="F21" s="363"/>
      <c r="G21" s="363"/>
      <c r="H21" s="363"/>
      <c r="I21" s="363"/>
      <c r="J21" s="363">
        <f>SUM(J51,J36)</f>
        <v>10</v>
      </c>
      <c r="K21" s="363">
        <f>SUM(K51,K36)</f>
        <v>28</v>
      </c>
      <c r="L21" s="457">
        <f>SUM(L51,L36)</f>
        <v>38</v>
      </c>
      <c r="M21" s="412"/>
    </row>
    <row r="22" spans="1:13" ht="15" hidden="1" x14ac:dyDescent="0.25">
      <c r="A22" s="452"/>
      <c r="B22" s="452"/>
      <c r="C22" s="452"/>
      <c r="D22" s="363">
        <v>19</v>
      </c>
      <c r="E22" s="363"/>
      <c r="F22" s="363"/>
      <c r="G22" s="363"/>
      <c r="H22" s="363"/>
      <c r="I22" s="363"/>
      <c r="J22" s="363"/>
      <c r="K22" s="363"/>
      <c r="L22" s="458"/>
      <c r="M22" s="412"/>
    </row>
    <row r="23" spans="1:13" ht="15" hidden="1" x14ac:dyDescent="0.25">
      <c r="A23" s="452"/>
      <c r="B23" s="452"/>
      <c r="C23" s="452"/>
      <c r="D23" s="363">
        <v>20</v>
      </c>
      <c r="E23" s="363"/>
      <c r="F23" s="363"/>
      <c r="G23" s="363"/>
      <c r="H23" s="363"/>
      <c r="I23" s="363"/>
      <c r="J23" s="363"/>
      <c r="K23" s="363"/>
      <c r="L23" s="458"/>
      <c r="M23" s="412"/>
    </row>
    <row r="24" spans="1:13" ht="15" x14ac:dyDescent="0.25">
      <c r="A24" s="452"/>
      <c r="B24" s="452"/>
      <c r="C24" s="452"/>
      <c r="D24" s="363">
        <v>19</v>
      </c>
      <c r="E24" s="363"/>
      <c r="F24" s="363"/>
      <c r="G24" s="363"/>
      <c r="H24" s="363"/>
      <c r="I24" s="363"/>
      <c r="J24" s="363"/>
      <c r="K24" s="363">
        <f>SUM(K54,K39)</f>
        <v>2</v>
      </c>
      <c r="L24" s="457">
        <f>SUM(L54,L39)</f>
        <v>2</v>
      </c>
      <c r="M24" s="412"/>
    </row>
    <row r="25" spans="1:13" ht="15" x14ac:dyDescent="0.25">
      <c r="A25" s="452"/>
      <c r="B25" s="452"/>
      <c r="C25" s="452"/>
      <c r="D25" s="340" t="s">
        <v>24</v>
      </c>
      <c r="E25" s="340">
        <f>SUM(E55,E40)</f>
        <v>713</v>
      </c>
      <c r="F25" s="340">
        <f>SUM(F55,F40)</f>
        <v>789</v>
      </c>
      <c r="G25" s="340">
        <f>SUM(G55,G40)</f>
        <v>775</v>
      </c>
      <c r="H25" s="340">
        <f>SUM(H55,H40)</f>
        <v>692</v>
      </c>
      <c r="I25" s="340">
        <v>658</v>
      </c>
      <c r="J25" s="340">
        <f>SUM(J55,J40)</f>
        <v>685</v>
      </c>
      <c r="K25" s="340">
        <f>SUM(K55,K40)</f>
        <v>214</v>
      </c>
      <c r="L25" s="457">
        <f>SUM(L55,L40)</f>
        <v>4527</v>
      </c>
      <c r="M25" s="412"/>
    </row>
    <row r="26" spans="1:13" ht="15" x14ac:dyDescent="0.25">
      <c r="A26" s="452"/>
      <c r="B26" s="452"/>
      <c r="C26" s="452"/>
      <c r="D26" s="341"/>
      <c r="E26" s="341"/>
      <c r="F26" s="341"/>
      <c r="G26" s="341"/>
      <c r="H26" s="341"/>
      <c r="I26" s="341"/>
      <c r="J26" s="341"/>
      <c r="K26" s="341"/>
      <c r="L26" s="341"/>
      <c r="M26" s="412"/>
    </row>
    <row r="27" spans="1:13" ht="15" x14ac:dyDescent="0.25">
      <c r="A27" s="455"/>
      <c r="B27" s="455"/>
      <c r="C27" s="455"/>
      <c r="D27" s="346" t="s">
        <v>26</v>
      </c>
      <c r="E27" s="344"/>
      <c r="F27" s="344"/>
      <c r="G27" s="344"/>
      <c r="H27" s="344"/>
      <c r="I27" s="344"/>
      <c r="J27" s="344"/>
      <c r="K27" s="344"/>
      <c r="L27" s="344"/>
      <c r="M27" s="452"/>
    </row>
    <row r="28" spans="1:13" ht="15" x14ac:dyDescent="0.25">
      <c r="A28" s="450"/>
      <c r="B28" s="450"/>
      <c r="C28" s="450"/>
      <c r="D28" s="363">
        <v>10</v>
      </c>
      <c r="E28" s="363">
        <v>37</v>
      </c>
      <c r="F28" s="363"/>
      <c r="G28" s="363"/>
      <c r="H28" s="363"/>
      <c r="I28" s="363"/>
      <c r="J28" s="363"/>
      <c r="K28" s="363"/>
      <c r="L28" s="339">
        <f t="shared" ref="L28:L39" si="0">SUM(E28:K28)</f>
        <v>37</v>
      </c>
      <c r="M28" s="451"/>
    </row>
    <row r="29" spans="1:13" ht="15" x14ac:dyDescent="0.25">
      <c r="A29" s="452"/>
      <c r="B29" s="452"/>
      <c r="C29" s="452"/>
      <c r="D29" s="363">
        <v>11</v>
      </c>
      <c r="E29" s="363">
        <v>282</v>
      </c>
      <c r="F29" s="363">
        <v>8</v>
      </c>
      <c r="G29" s="363"/>
      <c r="H29" s="363"/>
      <c r="I29" s="363"/>
      <c r="J29" s="363"/>
      <c r="K29" s="363"/>
      <c r="L29" s="339">
        <f t="shared" si="0"/>
        <v>290</v>
      </c>
      <c r="M29" s="412"/>
    </row>
    <row r="30" spans="1:13" ht="15" x14ac:dyDescent="0.25">
      <c r="A30" s="452"/>
      <c r="B30" s="452"/>
      <c r="C30" s="452"/>
      <c r="D30" s="363">
        <v>12</v>
      </c>
      <c r="E30" s="363">
        <v>12</v>
      </c>
      <c r="F30" s="363">
        <v>355</v>
      </c>
      <c r="G30" s="363">
        <v>9</v>
      </c>
      <c r="H30" s="363"/>
      <c r="I30" s="363"/>
      <c r="J30" s="363"/>
      <c r="K30" s="363"/>
      <c r="L30" s="339">
        <f t="shared" si="0"/>
        <v>376</v>
      </c>
      <c r="M30" s="412"/>
    </row>
    <row r="31" spans="1:13" ht="15" x14ac:dyDescent="0.25">
      <c r="A31" s="452"/>
      <c r="B31" s="452"/>
      <c r="C31" s="452"/>
      <c r="D31" s="363">
        <v>13</v>
      </c>
      <c r="E31" s="363">
        <v>1</v>
      </c>
      <c r="F31" s="363">
        <v>22</v>
      </c>
      <c r="G31" s="363">
        <v>351</v>
      </c>
      <c r="H31" s="363">
        <v>9</v>
      </c>
      <c r="I31" s="363">
        <v>1</v>
      </c>
      <c r="J31" s="363"/>
      <c r="K31" s="363"/>
      <c r="L31" s="339">
        <f t="shared" si="0"/>
        <v>384</v>
      </c>
      <c r="M31" s="412"/>
    </row>
    <row r="32" spans="1:13" ht="15" x14ac:dyDescent="0.25">
      <c r="A32" s="452"/>
      <c r="B32" s="452"/>
      <c r="C32" s="452"/>
      <c r="D32" s="363">
        <v>14</v>
      </c>
      <c r="E32" s="363"/>
      <c r="F32" s="363">
        <v>2</v>
      </c>
      <c r="G32" s="363">
        <v>24</v>
      </c>
      <c r="H32" s="363">
        <v>279</v>
      </c>
      <c r="I32" s="363">
        <v>43</v>
      </c>
      <c r="J32" s="363"/>
      <c r="K32" s="363"/>
      <c r="L32" s="339">
        <f t="shared" si="0"/>
        <v>348</v>
      </c>
      <c r="M32" s="412"/>
    </row>
    <row r="33" spans="1:13" ht="15" x14ac:dyDescent="0.25">
      <c r="A33" s="452"/>
      <c r="B33" s="452"/>
      <c r="C33" s="452"/>
      <c r="D33" s="363">
        <v>15</v>
      </c>
      <c r="E33" s="363"/>
      <c r="F33" s="363"/>
      <c r="G33" s="363">
        <v>1</v>
      </c>
      <c r="H33" s="363">
        <v>31</v>
      </c>
      <c r="I33" s="363">
        <v>240</v>
      </c>
      <c r="J33" s="363">
        <v>57</v>
      </c>
      <c r="K33" s="363"/>
      <c r="L33" s="339">
        <f t="shared" si="0"/>
        <v>329</v>
      </c>
      <c r="M33" s="412"/>
    </row>
    <row r="34" spans="1:13" ht="15" x14ac:dyDescent="0.25">
      <c r="A34" s="452"/>
      <c r="B34" s="452"/>
      <c r="C34" s="452"/>
      <c r="D34" s="363">
        <v>16</v>
      </c>
      <c r="E34" s="363"/>
      <c r="F34" s="363"/>
      <c r="G34" s="363"/>
      <c r="H34" s="363">
        <v>2</v>
      </c>
      <c r="I34" s="363">
        <v>42</v>
      </c>
      <c r="J34" s="363">
        <v>264</v>
      </c>
      <c r="K34" s="363">
        <v>10</v>
      </c>
      <c r="L34" s="339">
        <f t="shared" si="0"/>
        <v>318</v>
      </c>
      <c r="M34" s="412"/>
    </row>
    <row r="35" spans="1:13" ht="15" x14ac:dyDescent="0.25">
      <c r="A35" s="452"/>
      <c r="B35" s="452"/>
      <c r="C35" s="452"/>
      <c r="D35" s="363">
        <v>17</v>
      </c>
      <c r="E35" s="363"/>
      <c r="F35" s="363"/>
      <c r="G35" s="363"/>
      <c r="H35" s="363"/>
      <c r="I35" s="363">
        <v>2</v>
      </c>
      <c r="J35" s="363">
        <v>58</v>
      </c>
      <c r="K35" s="363">
        <v>100</v>
      </c>
      <c r="L35" s="339">
        <f t="shared" si="0"/>
        <v>160</v>
      </c>
      <c r="M35" s="412"/>
    </row>
    <row r="36" spans="1:13" ht="15" hidden="1" customHeight="1" x14ac:dyDescent="0.25">
      <c r="A36" s="452"/>
      <c r="B36" s="452"/>
      <c r="C36" s="452"/>
      <c r="D36" s="363">
        <v>18</v>
      </c>
      <c r="E36" s="363"/>
      <c r="F36" s="363"/>
      <c r="G36" s="363"/>
      <c r="H36" s="363"/>
      <c r="I36" s="363"/>
      <c r="J36" s="363">
        <v>3</v>
      </c>
      <c r="K36" s="363">
        <v>9</v>
      </c>
      <c r="L36" s="339">
        <f t="shared" si="0"/>
        <v>12</v>
      </c>
      <c r="M36" s="412"/>
    </row>
    <row r="37" spans="1:13" ht="15" hidden="1" x14ac:dyDescent="0.25">
      <c r="A37" s="452"/>
      <c r="B37" s="452"/>
      <c r="C37" s="452"/>
      <c r="D37" s="363">
        <v>19</v>
      </c>
      <c r="E37" s="363"/>
      <c r="F37" s="363"/>
      <c r="G37" s="363"/>
      <c r="H37" s="363"/>
      <c r="I37" s="363"/>
      <c r="J37" s="363"/>
      <c r="K37" s="363"/>
      <c r="L37" s="339">
        <f t="shared" si="0"/>
        <v>0</v>
      </c>
      <c r="M37" s="412"/>
    </row>
    <row r="38" spans="1:13" ht="15" hidden="1" x14ac:dyDescent="0.25">
      <c r="A38" s="452"/>
      <c r="B38" s="452"/>
      <c r="C38" s="452"/>
      <c r="D38" s="363">
        <v>20</v>
      </c>
      <c r="E38" s="363"/>
      <c r="F38" s="363"/>
      <c r="G38" s="363"/>
      <c r="H38" s="363"/>
      <c r="I38" s="363"/>
      <c r="J38" s="363"/>
      <c r="K38" s="363"/>
      <c r="L38" s="339">
        <f t="shared" si="0"/>
        <v>0</v>
      </c>
      <c r="M38" s="412"/>
    </row>
    <row r="39" spans="1:13" ht="15" x14ac:dyDescent="0.25">
      <c r="A39" s="452"/>
      <c r="B39" s="452"/>
      <c r="C39" s="452"/>
      <c r="D39" s="363">
        <v>19</v>
      </c>
      <c r="E39" s="363"/>
      <c r="F39" s="363"/>
      <c r="G39" s="363"/>
      <c r="H39" s="363"/>
      <c r="I39" s="363"/>
      <c r="J39" s="363"/>
      <c r="K39" s="363">
        <v>1</v>
      </c>
      <c r="L39" s="339">
        <f t="shared" si="0"/>
        <v>1</v>
      </c>
      <c r="M39" s="412"/>
    </row>
    <row r="40" spans="1:13" ht="15" x14ac:dyDescent="0.25">
      <c r="A40" s="452"/>
      <c r="B40" s="452"/>
      <c r="C40" s="452"/>
      <c r="D40" s="340" t="s">
        <v>24</v>
      </c>
      <c r="E40" s="340">
        <f>SUM(E28:E38)</f>
        <v>332</v>
      </c>
      <c r="F40" s="340">
        <f>SUM(F28:F38)</f>
        <v>387</v>
      </c>
      <c r="G40" s="340">
        <f>SUM(G28:G38)</f>
        <v>385</v>
      </c>
      <c r="H40" s="340">
        <f>SUM(H28:H38)</f>
        <v>321</v>
      </c>
      <c r="I40" s="340">
        <f>SUM(I28:I38)</f>
        <v>328</v>
      </c>
      <c r="J40" s="340">
        <f>SUM(J28:J39)</f>
        <v>382</v>
      </c>
      <c r="K40" s="340">
        <f>SUM(K28:K39)</f>
        <v>120</v>
      </c>
      <c r="L40" s="340">
        <f>SUM(E40:K40)</f>
        <v>2255</v>
      </c>
      <c r="M40" s="412"/>
    </row>
    <row r="41" spans="1:13" ht="15" x14ac:dyDescent="0.25">
      <c r="A41" s="452"/>
      <c r="B41" s="452"/>
      <c r="C41" s="452"/>
      <c r="D41" s="341"/>
      <c r="E41" s="341"/>
      <c r="F41" s="341"/>
      <c r="G41" s="341"/>
      <c r="H41" s="341"/>
      <c r="I41" s="341"/>
      <c r="J41" s="341"/>
      <c r="K41" s="341"/>
      <c r="L41" s="341"/>
      <c r="M41" s="412"/>
    </row>
    <row r="42" spans="1:13" ht="15" x14ac:dyDescent="0.25">
      <c r="A42" s="452"/>
      <c r="B42" s="452"/>
      <c r="C42" s="452"/>
      <c r="D42" s="346" t="s">
        <v>25</v>
      </c>
      <c r="E42" s="344"/>
      <c r="F42" s="344"/>
      <c r="G42" s="344"/>
      <c r="H42" s="344"/>
      <c r="I42" s="344"/>
      <c r="J42" s="344"/>
      <c r="K42" s="344"/>
      <c r="L42" s="344"/>
      <c r="M42" s="412"/>
    </row>
    <row r="43" spans="1:13" ht="15" x14ac:dyDescent="0.25">
      <c r="A43" s="452"/>
      <c r="B43" s="452"/>
      <c r="C43" s="452"/>
      <c r="D43" s="363">
        <v>10</v>
      </c>
      <c r="E43" s="363">
        <v>27</v>
      </c>
      <c r="F43" s="363"/>
      <c r="G43" s="363"/>
      <c r="H43" s="363"/>
      <c r="I43" s="363"/>
      <c r="J43" s="363"/>
      <c r="K43" s="363"/>
      <c r="L43" s="339">
        <f t="shared" ref="L43:L55" si="1">SUM(E43:K43)</f>
        <v>27</v>
      </c>
      <c r="M43" s="412"/>
    </row>
    <row r="44" spans="1:13" ht="15" x14ac:dyDescent="0.25">
      <c r="A44" s="452"/>
      <c r="B44" s="452"/>
      <c r="C44" s="452"/>
      <c r="D44" s="363">
        <v>11</v>
      </c>
      <c r="E44" s="363">
        <v>312</v>
      </c>
      <c r="F44" s="363">
        <v>5</v>
      </c>
      <c r="G44" s="363"/>
      <c r="H44" s="363"/>
      <c r="I44" s="363"/>
      <c r="J44" s="363"/>
      <c r="K44" s="363"/>
      <c r="L44" s="339">
        <f t="shared" si="1"/>
        <v>317</v>
      </c>
      <c r="M44" s="412"/>
    </row>
    <row r="45" spans="1:13" ht="15" x14ac:dyDescent="0.25">
      <c r="A45" s="452"/>
      <c r="B45" s="452"/>
      <c r="C45" s="452"/>
      <c r="D45" s="363">
        <v>12</v>
      </c>
      <c r="E45" s="363">
        <v>39</v>
      </c>
      <c r="F45" s="363">
        <v>340</v>
      </c>
      <c r="G45" s="363">
        <v>3</v>
      </c>
      <c r="H45" s="363"/>
      <c r="I45" s="363"/>
      <c r="J45" s="363"/>
      <c r="K45" s="363"/>
      <c r="L45" s="339">
        <f t="shared" si="1"/>
        <v>382</v>
      </c>
      <c r="M45" s="412"/>
    </row>
    <row r="46" spans="1:13" ht="15" x14ac:dyDescent="0.25">
      <c r="A46" s="452"/>
      <c r="B46" s="452"/>
      <c r="C46" s="452"/>
      <c r="D46" s="363">
        <v>13</v>
      </c>
      <c r="E46" s="363">
        <v>3</v>
      </c>
      <c r="F46" s="363">
        <v>53</v>
      </c>
      <c r="G46" s="363">
        <v>342</v>
      </c>
      <c r="H46" s="363">
        <v>10</v>
      </c>
      <c r="I46" s="363"/>
      <c r="J46" s="363"/>
      <c r="K46" s="363"/>
      <c r="L46" s="339">
        <f t="shared" si="1"/>
        <v>408</v>
      </c>
      <c r="M46" s="412"/>
    </row>
    <row r="47" spans="1:13" ht="15" x14ac:dyDescent="0.25">
      <c r="A47" s="452"/>
      <c r="B47" s="452"/>
      <c r="C47" s="452"/>
      <c r="D47" s="363">
        <v>14</v>
      </c>
      <c r="E47" s="363"/>
      <c r="F47" s="363">
        <v>4</v>
      </c>
      <c r="G47" s="363">
        <v>41</v>
      </c>
      <c r="H47" s="363">
        <v>307</v>
      </c>
      <c r="I47" s="363">
        <v>36</v>
      </c>
      <c r="J47" s="363"/>
      <c r="K47" s="363"/>
      <c r="L47" s="339">
        <f t="shared" si="1"/>
        <v>388</v>
      </c>
      <c r="M47" s="412"/>
    </row>
    <row r="48" spans="1:13" ht="15" x14ac:dyDescent="0.25">
      <c r="A48" s="452"/>
      <c r="B48" s="452"/>
      <c r="C48" s="452"/>
      <c r="D48" s="363">
        <v>15</v>
      </c>
      <c r="E48" s="363"/>
      <c r="F48" s="363"/>
      <c r="G48" s="363">
        <v>4</v>
      </c>
      <c r="H48" s="363">
        <v>51</v>
      </c>
      <c r="I48" s="363">
        <v>247</v>
      </c>
      <c r="J48" s="363">
        <v>60</v>
      </c>
      <c r="K48" s="363"/>
      <c r="L48" s="339">
        <f t="shared" si="1"/>
        <v>362</v>
      </c>
      <c r="M48" s="454"/>
    </row>
    <row r="49" spans="1:13" ht="15" x14ac:dyDescent="0.25">
      <c r="A49" s="452"/>
      <c r="B49" s="452"/>
      <c r="C49" s="452"/>
      <c r="D49" s="363">
        <v>16</v>
      </c>
      <c r="E49" s="363"/>
      <c r="F49" s="363"/>
      <c r="G49" s="363"/>
      <c r="H49" s="363">
        <v>3</v>
      </c>
      <c r="I49" s="363">
        <v>45</v>
      </c>
      <c r="J49" s="363">
        <v>199</v>
      </c>
      <c r="K49" s="363">
        <v>13</v>
      </c>
      <c r="L49" s="339">
        <f t="shared" si="1"/>
        <v>260</v>
      </c>
      <c r="M49" s="454"/>
    </row>
    <row r="50" spans="1:13" ht="15" x14ac:dyDescent="0.25">
      <c r="A50" s="452"/>
      <c r="B50" s="452"/>
      <c r="C50" s="452"/>
      <c r="D50" s="363">
        <v>17</v>
      </c>
      <c r="E50" s="363"/>
      <c r="F50" s="363"/>
      <c r="G50" s="363"/>
      <c r="H50" s="363"/>
      <c r="I50" s="363">
        <v>3</v>
      </c>
      <c r="J50" s="363">
        <v>37</v>
      </c>
      <c r="K50" s="363">
        <v>61</v>
      </c>
      <c r="L50" s="339">
        <f t="shared" si="1"/>
        <v>101</v>
      </c>
      <c r="M50" s="452"/>
    </row>
    <row r="51" spans="1:13" ht="15" hidden="1" customHeight="1" x14ac:dyDescent="0.25">
      <c r="A51" s="455"/>
      <c r="B51" s="455"/>
      <c r="C51" s="455"/>
      <c r="D51" s="363">
        <v>18</v>
      </c>
      <c r="E51" s="363"/>
      <c r="F51" s="363"/>
      <c r="G51" s="363"/>
      <c r="H51" s="363"/>
      <c r="I51" s="363"/>
      <c r="J51" s="363">
        <v>7</v>
      </c>
      <c r="K51" s="363">
        <v>19</v>
      </c>
      <c r="L51" s="339">
        <f t="shared" si="1"/>
        <v>26</v>
      </c>
      <c r="M51" s="452"/>
    </row>
    <row r="52" spans="1:13" ht="15" hidden="1" x14ac:dyDescent="0.25">
      <c r="A52" s="455"/>
      <c r="B52" s="455"/>
      <c r="C52" s="455"/>
      <c r="D52" s="363">
        <v>19</v>
      </c>
      <c r="E52" s="363"/>
      <c r="F52" s="363"/>
      <c r="G52" s="363"/>
      <c r="H52" s="363"/>
      <c r="I52" s="363"/>
      <c r="J52" s="363"/>
      <c r="K52" s="363"/>
      <c r="L52" s="339">
        <f t="shared" si="1"/>
        <v>0</v>
      </c>
      <c r="M52" s="452"/>
    </row>
    <row r="53" spans="1:13" ht="15" hidden="1" x14ac:dyDescent="0.25">
      <c r="A53" s="455"/>
      <c r="B53" s="455"/>
      <c r="C53" s="455"/>
      <c r="D53" s="363">
        <v>20</v>
      </c>
      <c r="E53" s="363"/>
      <c r="F53" s="363"/>
      <c r="G53" s="363"/>
      <c r="H53" s="363"/>
      <c r="I53" s="363"/>
      <c r="J53" s="363"/>
      <c r="K53" s="363"/>
      <c r="L53" s="339">
        <f t="shared" si="1"/>
        <v>0</v>
      </c>
      <c r="M53" s="452"/>
    </row>
    <row r="54" spans="1:13" ht="15" x14ac:dyDescent="0.25">
      <c r="A54" s="455"/>
      <c r="B54" s="455"/>
      <c r="C54" s="455"/>
      <c r="D54" s="363">
        <v>19</v>
      </c>
      <c r="E54" s="363"/>
      <c r="F54" s="363"/>
      <c r="G54" s="363"/>
      <c r="H54" s="363"/>
      <c r="I54" s="363"/>
      <c r="J54" s="363"/>
      <c r="K54" s="363">
        <v>1</v>
      </c>
      <c r="L54" s="339">
        <f t="shared" si="1"/>
        <v>1</v>
      </c>
      <c r="M54" s="452"/>
    </row>
    <row r="55" spans="1:13" ht="15" x14ac:dyDescent="0.25">
      <c r="A55" s="452"/>
      <c r="B55" s="452"/>
      <c r="C55" s="452"/>
      <c r="D55" s="347" t="s">
        <v>24</v>
      </c>
      <c r="E55" s="347">
        <f t="shared" ref="E55:J55" si="2">SUM(E43:E53)</f>
        <v>381</v>
      </c>
      <c r="F55" s="347">
        <f t="shared" si="2"/>
        <v>402</v>
      </c>
      <c r="G55" s="347">
        <f t="shared" si="2"/>
        <v>390</v>
      </c>
      <c r="H55" s="347">
        <f t="shared" si="2"/>
        <v>371</v>
      </c>
      <c r="I55" s="347">
        <f t="shared" si="2"/>
        <v>331</v>
      </c>
      <c r="J55" s="347">
        <f t="shared" si="2"/>
        <v>303</v>
      </c>
      <c r="K55" s="347">
        <f>SUM(K43:K54)</f>
        <v>94</v>
      </c>
      <c r="L55" s="340">
        <f t="shared" si="1"/>
        <v>2272</v>
      </c>
      <c r="M55" s="454"/>
    </row>
    <row r="56" spans="1:13" ht="14.25" x14ac:dyDescent="0.2">
      <c r="A56" s="452"/>
      <c r="B56" s="452"/>
      <c r="C56" s="452"/>
      <c r="D56" s="412"/>
      <c r="E56" s="412"/>
      <c r="F56" s="412"/>
      <c r="G56" s="454"/>
      <c r="H56" s="412"/>
      <c r="I56" s="412"/>
      <c r="J56" s="454"/>
      <c r="K56" s="454"/>
      <c r="L56" s="412"/>
      <c r="M56" s="454"/>
    </row>
    <row r="57" spans="1:13" ht="14.25" x14ac:dyDescent="0.2">
      <c r="A57" s="282"/>
      <c r="B57" s="282"/>
      <c r="C57" s="282"/>
      <c r="D57" s="382" t="s">
        <v>279</v>
      </c>
      <c r="E57" s="414"/>
      <c r="F57" s="282"/>
      <c r="G57" s="282"/>
      <c r="H57" s="282"/>
      <c r="I57" s="282"/>
      <c r="J57" s="282"/>
      <c r="K57" s="282"/>
      <c r="L57" s="282"/>
      <c r="M57" s="435"/>
    </row>
    <row r="58" spans="1:13" ht="14.25" x14ac:dyDescent="0.2">
      <c r="A58" s="436"/>
      <c r="B58" s="436"/>
      <c r="C58" s="436"/>
      <c r="D58" s="436"/>
      <c r="E58" s="282"/>
      <c r="F58" s="282"/>
      <c r="G58" s="282"/>
      <c r="H58" s="282"/>
      <c r="I58" s="282"/>
      <c r="J58" s="282"/>
      <c r="K58" s="282"/>
      <c r="L58" s="282"/>
      <c r="M58" s="436"/>
    </row>
    <row r="59" spans="1:13" ht="14.25" x14ac:dyDescent="0.2">
      <c r="A59" s="436"/>
      <c r="B59" s="436"/>
      <c r="C59" s="436"/>
      <c r="D59" s="436"/>
      <c r="E59" s="282"/>
      <c r="F59" s="282"/>
      <c r="G59" s="282"/>
      <c r="H59" s="282"/>
      <c r="I59" s="282"/>
      <c r="J59" s="282"/>
      <c r="K59" s="282"/>
      <c r="L59" s="282"/>
      <c r="M59" s="436"/>
    </row>
    <row r="60" spans="1:13" x14ac:dyDescent="0.2">
      <c r="A60" s="280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</row>
  </sheetData>
  <mergeCells count="3">
    <mergeCell ref="A7:M7"/>
    <mergeCell ref="I3:L3"/>
    <mergeCell ref="D9:L9"/>
  </mergeCells>
  <pageMargins left="0.7" right="0.7" top="0.75" bottom="0.75" header="0.3" footer="0.3"/>
  <pageSetup scale="77" orientation="portrait" verticalDpi="0" r:id="rId1"/>
  <ignoredErrors>
    <ignoredError sqref="L28:L35 L43:L54 L39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44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57150</xdr:rowOff>
              </from>
              <to>
                <xdr:col>1</xdr:col>
                <xdr:colOff>552450</xdr:colOff>
                <xdr:row>3</xdr:row>
                <xdr:rowOff>28575</xdr:rowOff>
              </to>
            </anchor>
          </objectPr>
        </oleObject>
      </mc:Choice>
      <mc:Fallback>
        <oleObject progId="MSPhotoEd.3" shapeId="44038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theme="7" tint="0.59999389629810485"/>
    <pageSetUpPr fitToPage="1"/>
  </sheetPr>
  <dimension ref="A2:U77"/>
  <sheetViews>
    <sheetView zoomScale="78" zoomScaleNormal="78" zoomScaleSheetLayoutView="93" workbookViewId="0">
      <selection activeCell="N8" sqref="N8:N9"/>
    </sheetView>
  </sheetViews>
  <sheetFormatPr defaultRowHeight="14.25" x14ac:dyDescent="0.2"/>
  <cols>
    <col min="1" max="1" width="6.140625" style="364" customWidth="1"/>
    <col min="2" max="2" width="8.28515625" style="364" customWidth="1"/>
    <col min="3" max="3" width="61" style="364" customWidth="1"/>
    <col min="4" max="6" width="9.140625" style="364"/>
    <col min="7" max="7" width="9.42578125" style="364" bestFit="1" customWidth="1"/>
    <col min="8" max="16384" width="9.140625" style="364"/>
  </cols>
  <sheetData>
    <row r="2" spans="1:10" x14ac:dyDescent="0.2">
      <c r="G2" s="604" t="s">
        <v>340</v>
      </c>
      <c r="H2" s="604"/>
      <c r="I2" s="604"/>
      <c r="J2" s="604"/>
    </row>
    <row r="5" spans="1:10" ht="9" customHeight="1" x14ac:dyDescent="0.2"/>
    <row r="7" spans="1:10" ht="15" x14ac:dyDescent="0.25">
      <c r="A7" s="615" t="s">
        <v>347</v>
      </c>
      <c r="B7" s="615"/>
      <c r="C7" s="615"/>
    </row>
    <row r="8" spans="1:10" ht="15" x14ac:dyDescent="0.25">
      <c r="A8" s="597"/>
      <c r="B8" s="597"/>
      <c r="C8" s="597"/>
    </row>
    <row r="9" spans="1:10" ht="12.75" customHeight="1" x14ac:dyDescent="0.2"/>
    <row r="10" spans="1:10" ht="15" x14ac:dyDescent="0.25">
      <c r="B10" s="461">
        <v>3.03</v>
      </c>
      <c r="C10" s="597" t="s">
        <v>348</v>
      </c>
    </row>
    <row r="12" spans="1:10" x14ac:dyDescent="0.2">
      <c r="D12" s="620"/>
      <c r="E12" s="620"/>
      <c r="F12" s="620"/>
      <c r="G12" s="620"/>
      <c r="H12" s="620"/>
      <c r="I12" s="620"/>
      <c r="J12" s="620"/>
    </row>
    <row r="13" spans="1:10" ht="15" x14ac:dyDescent="0.25">
      <c r="C13" s="462"/>
      <c r="D13" s="463">
        <v>2016</v>
      </c>
      <c r="E13" s="463">
        <v>2017</v>
      </c>
      <c r="F13" s="463">
        <v>2018</v>
      </c>
      <c r="G13" s="463">
        <v>2019</v>
      </c>
      <c r="H13" s="463">
        <v>2020</v>
      </c>
      <c r="I13" s="463">
        <v>2021</v>
      </c>
      <c r="J13" s="463">
        <v>2022</v>
      </c>
    </row>
    <row r="15" spans="1:10" ht="15" x14ac:dyDescent="0.25">
      <c r="C15" s="465" t="s">
        <v>309</v>
      </c>
    </row>
    <row r="16" spans="1:10" ht="15" x14ac:dyDescent="0.25">
      <c r="C16" s="465" t="s">
        <v>1</v>
      </c>
    </row>
    <row r="17" spans="3:10" x14ac:dyDescent="0.2">
      <c r="C17" s="364" t="s">
        <v>10</v>
      </c>
      <c r="D17" s="466">
        <v>2418</v>
      </c>
      <c r="E17" s="466">
        <v>2375</v>
      </c>
      <c r="F17" s="466">
        <v>2396</v>
      </c>
      <c r="G17" s="466">
        <v>2352</v>
      </c>
      <c r="H17" s="466">
        <v>2306</v>
      </c>
      <c r="I17" s="466">
        <v>2248</v>
      </c>
      <c r="J17" s="466">
        <v>2291</v>
      </c>
    </row>
    <row r="18" spans="3:10" x14ac:dyDescent="0.2">
      <c r="C18" s="364" t="s">
        <v>292</v>
      </c>
      <c r="D18" s="466">
        <v>174</v>
      </c>
      <c r="E18" s="466">
        <v>177</v>
      </c>
      <c r="F18" s="468">
        <v>191</v>
      </c>
      <c r="G18" s="469">
        <v>192</v>
      </c>
      <c r="H18" s="466">
        <v>195</v>
      </c>
      <c r="I18" s="466">
        <v>191</v>
      </c>
      <c r="J18" s="466">
        <v>203</v>
      </c>
    </row>
    <row r="19" spans="3:10" x14ac:dyDescent="0.2">
      <c r="C19" s="364" t="s">
        <v>298</v>
      </c>
      <c r="D19" s="466">
        <f>D17/D18</f>
        <v>13.896551724137931</v>
      </c>
      <c r="E19" s="466">
        <f t="shared" ref="E19" si="0">E17/E18</f>
        <v>13.418079096045197</v>
      </c>
      <c r="F19" s="466">
        <f>F17/F18</f>
        <v>12.544502617801047</v>
      </c>
      <c r="G19" s="466">
        <f t="shared" ref="G19:H19" si="1">G17/G18</f>
        <v>12.25</v>
      </c>
      <c r="H19" s="466">
        <f t="shared" si="1"/>
        <v>11.825641025641026</v>
      </c>
      <c r="I19" s="466">
        <f>I17/I18</f>
        <v>11.769633507853403</v>
      </c>
      <c r="J19" s="466">
        <f>J17/J18</f>
        <v>11.285714285714286</v>
      </c>
    </row>
    <row r="20" spans="3:10" ht="16.5" x14ac:dyDescent="0.2">
      <c r="C20" s="364" t="s">
        <v>352</v>
      </c>
      <c r="D20" s="470">
        <v>176.8</v>
      </c>
      <c r="E20" s="470">
        <v>185.7</v>
      </c>
      <c r="F20" s="468">
        <v>165.7</v>
      </c>
      <c r="G20" s="469">
        <v>162.69999999999999</v>
      </c>
      <c r="H20" s="470">
        <v>148.36666666666699</v>
      </c>
      <c r="I20" s="469">
        <v>168.3</v>
      </c>
      <c r="J20" s="470">
        <v>173</v>
      </c>
    </row>
    <row r="21" spans="3:10" x14ac:dyDescent="0.2">
      <c r="C21" s="364" t="s">
        <v>295</v>
      </c>
      <c r="D21" s="470">
        <v>14.627754615842763</v>
      </c>
      <c r="E21" s="470">
        <f t="shared" ref="E21:J21" si="2">D17/D20</f>
        <v>13.676470588235293</v>
      </c>
      <c r="F21" s="470">
        <f t="shared" si="2"/>
        <v>12.789445341949381</v>
      </c>
      <c r="G21" s="470">
        <f t="shared" si="2"/>
        <v>14.459867229933616</v>
      </c>
      <c r="H21" s="470">
        <f t="shared" si="2"/>
        <v>14.456054087277199</v>
      </c>
      <c r="I21" s="470">
        <f t="shared" si="2"/>
        <v>15.542574702314052</v>
      </c>
      <c r="J21" s="470">
        <f t="shared" si="2"/>
        <v>13.357100415923945</v>
      </c>
    </row>
    <row r="22" spans="3:10" x14ac:dyDescent="0.2">
      <c r="D22" s="469"/>
      <c r="E22" s="469"/>
      <c r="F22" s="469"/>
    </row>
    <row r="23" spans="3:10" ht="15" x14ac:dyDescent="0.25">
      <c r="C23" s="465" t="s">
        <v>2</v>
      </c>
    </row>
    <row r="24" spans="3:10" x14ac:dyDescent="0.2">
      <c r="C24" s="364" t="s">
        <v>10</v>
      </c>
      <c r="D24" s="466">
        <v>2281</v>
      </c>
      <c r="E24" s="466">
        <v>2181</v>
      </c>
      <c r="F24" s="466">
        <v>2227</v>
      </c>
      <c r="G24" s="466">
        <v>2284</v>
      </c>
      <c r="H24" s="466">
        <v>2373</v>
      </c>
      <c r="I24" s="466">
        <v>2509</v>
      </c>
      <c r="J24" s="466">
        <v>2603</v>
      </c>
    </row>
    <row r="25" spans="3:10" x14ac:dyDescent="0.2">
      <c r="C25" s="364" t="s">
        <v>292</v>
      </c>
      <c r="D25" s="466">
        <v>280</v>
      </c>
      <c r="E25" s="466">
        <v>242</v>
      </c>
      <c r="F25" s="466">
        <v>229</v>
      </c>
      <c r="G25" s="466">
        <v>234</v>
      </c>
      <c r="H25" s="466">
        <v>237</v>
      </c>
      <c r="I25" s="466">
        <v>242</v>
      </c>
      <c r="J25" s="466">
        <v>244</v>
      </c>
    </row>
    <row r="26" spans="3:10" x14ac:dyDescent="0.2">
      <c r="C26" s="364" t="s">
        <v>294</v>
      </c>
      <c r="D26" s="466">
        <f>D24/D25</f>
        <v>8.1464285714285722</v>
      </c>
      <c r="E26" s="466">
        <f t="shared" ref="E26:I26" si="3">E24/E25</f>
        <v>9.0123966942148765</v>
      </c>
      <c r="F26" s="466">
        <f t="shared" si="3"/>
        <v>9.7248908296943224</v>
      </c>
      <c r="G26" s="466">
        <f t="shared" si="3"/>
        <v>9.7606837606837615</v>
      </c>
      <c r="H26" s="466">
        <f t="shared" si="3"/>
        <v>10.012658227848101</v>
      </c>
      <c r="I26" s="466">
        <f t="shared" si="3"/>
        <v>10.367768595041323</v>
      </c>
      <c r="J26" s="466">
        <f>J24/J25</f>
        <v>10.668032786885245</v>
      </c>
    </row>
    <row r="27" spans="3:10" x14ac:dyDescent="0.2">
      <c r="C27" s="364" t="s">
        <v>293</v>
      </c>
      <c r="D27" s="470">
        <v>194</v>
      </c>
      <c r="E27" s="470">
        <v>195.6</v>
      </c>
      <c r="F27" s="470">
        <v>197.7</v>
      </c>
      <c r="G27" s="470">
        <v>191.6</v>
      </c>
      <c r="H27" s="470">
        <v>190.96666666666701</v>
      </c>
      <c r="I27" s="470">
        <v>186.6</v>
      </c>
      <c r="J27" s="470">
        <v>193.5</v>
      </c>
    </row>
    <row r="28" spans="3:10" x14ac:dyDescent="0.2">
      <c r="C28" s="364" t="s">
        <v>295</v>
      </c>
      <c r="D28" s="470">
        <f t="shared" ref="D28:J28" si="4">D24/D27</f>
        <v>11.757731958762887</v>
      </c>
      <c r="E28" s="470">
        <f t="shared" si="4"/>
        <v>11.150306748466258</v>
      </c>
      <c r="F28" s="470">
        <f t="shared" si="4"/>
        <v>11.264542235710673</v>
      </c>
      <c r="G28" s="470">
        <f t="shared" si="4"/>
        <v>11.920668058455115</v>
      </c>
      <c r="H28" s="470">
        <f t="shared" si="4"/>
        <v>12.426252400069798</v>
      </c>
      <c r="I28" s="470">
        <f t="shared" si="4"/>
        <v>13.445873526259378</v>
      </c>
      <c r="J28" s="470">
        <f t="shared" si="4"/>
        <v>13.452196382428941</v>
      </c>
    </row>
    <row r="30" spans="3:10" ht="15" x14ac:dyDescent="0.25">
      <c r="C30" s="465" t="s">
        <v>12</v>
      </c>
    </row>
    <row r="31" spans="3:10" x14ac:dyDescent="0.2">
      <c r="C31" s="364" t="s">
        <v>13</v>
      </c>
    </row>
    <row r="32" spans="3:10" x14ac:dyDescent="0.2">
      <c r="C32" s="364" t="s">
        <v>10</v>
      </c>
      <c r="D32" s="466">
        <v>3379</v>
      </c>
      <c r="E32" s="466">
        <v>3321</v>
      </c>
      <c r="F32" s="466">
        <v>3618</v>
      </c>
      <c r="G32" s="466">
        <v>3409</v>
      </c>
      <c r="H32" s="466">
        <v>3755</v>
      </c>
      <c r="I32" s="466">
        <v>4061</v>
      </c>
      <c r="J32" s="466">
        <v>4030</v>
      </c>
    </row>
    <row r="33" spans="3:10" x14ac:dyDescent="0.2">
      <c r="C33" s="364" t="s">
        <v>292</v>
      </c>
      <c r="D33" s="466">
        <v>334</v>
      </c>
      <c r="E33" s="466">
        <v>339</v>
      </c>
      <c r="F33" s="468">
        <v>330</v>
      </c>
      <c r="G33" s="466">
        <v>340</v>
      </c>
      <c r="H33" s="466">
        <v>340</v>
      </c>
      <c r="I33" s="466">
        <v>405</v>
      </c>
      <c r="J33" s="466">
        <v>426</v>
      </c>
    </row>
    <row r="34" spans="3:10" x14ac:dyDescent="0.2">
      <c r="C34" s="364" t="s">
        <v>294</v>
      </c>
      <c r="D34" s="466">
        <f>D32/D33</f>
        <v>10.116766467065869</v>
      </c>
      <c r="E34" s="466">
        <f t="shared" ref="E34:I34" si="5">E32/E33</f>
        <v>9.7964601769911503</v>
      </c>
      <c r="F34" s="466">
        <f t="shared" si="5"/>
        <v>10.963636363636363</v>
      </c>
      <c r="G34" s="466">
        <f t="shared" si="5"/>
        <v>10.026470588235295</v>
      </c>
      <c r="H34" s="466">
        <f t="shared" si="5"/>
        <v>11.044117647058824</v>
      </c>
      <c r="I34" s="466">
        <f t="shared" si="5"/>
        <v>10.027160493827161</v>
      </c>
      <c r="J34" s="466">
        <f>J32/J33</f>
        <v>9.4600938967136159</v>
      </c>
    </row>
    <row r="35" spans="3:10" x14ac:dyDescent="0.2">
      <c r="C35" s="364" t="s">
        <v>293</v>
      </c>
      <c r="D35" s="470">
        <v>286.8</v>
      </c>
      <c r="E35" s="466">
        <v>407.74</v>
      </c>
      <c r="F35" s="470">
        <v>287</v>
      </c>
      <c r="G35" s="470">
        <v>284</v>
      </c>
      <c r="H35" s="466">
        <v>202.506666666667</v>
      </c>
      <c r="I35" s="470">
        <v>361.7</v>
      </c>
      <c r="J35" s="470">
        <v>373.7</v>
      </c>
    </row>
    <row r="36" spans="3:10" x14ac:dyDescent="0.2">
      <c r="C36" s="364" t="s">
        <v>295</v>
      </c>
      <c r="D36" s="470">
        <f t="shared" ref="D36:J36" si="6">D32/D35</f>
        <v>11.781729428172943</v>
      </c>
      <c r="E36" s="470">
        <f t="shared" si="6"/>
        <v>8.1448962574189441</v>
      </c>
      <c r="F36" s="470">
        <f t="shared" si="6"/>
        <v>12.606271777003485</v>
      </c>
      <c r="G36" s="470">
        <f t="shared" si="6"/>
        <v>12.003521126760564</v>
      </c>
      <c r="H36" s="470">
        <f t="shared" si="6"/>
        <v>18.542599420595177</v>
      </c>
      <c r="I36" s="470">
        <f t="shared" si="6"/>
        <v>11.227536632568427</v>
      </c>
      <c r="J36" s="470">
        <f t="shared" si="6"/>
        <v>10.784051378110785</v>
      </c>
    </row>
    <row r="37" spans="3:10" x14ac:dyDescent="0.2">
      <c r="D37" s="470"/>
      <c r="E37" s="470"/>
      <c r="F37" s="470"/>
      <c r="G37" s="470"/>
      <c r="H37" s="470"/>
      <c r="I37" s="470"/>
    </row>
    <row r="38" spans="3:10" ht="15" hidden="1" x14ac:dyDescent="0.25">
      <c r="C38" s="465" t="s">
        <v>315</v>
      </c>
    </row>
    <row r="39" spans="3:10" hidden="1" x14ac:dyDescent="0.2">
      <c r="C39" s="364" t="s">
        <v>13</v>
      </c>
    </row>
    <row r="40" spans="3:10" hidden="1" x14ac:dyDescent="0.2">
      <c r="C40" s="364" t="s">
        <v>10</v>
      </c>
      <c r="D40" s="466"/>
      <c r="E40" s="466"/>
      <c r="F40" s="466"/>
      <c r="G40" s="466"/>
      <c r="H40" s="466"/>
      <c r="I40" s="466">
        <v>118</v>
      </c>
    </row>
    <row r="41" spans="3:10" hidden="1" x14ac:dyDescent="0.2">
      <c r="C41" s="364" t="s">
        <v>292</v>
      </c>
      <c r="D41" s="466"/>
      <c r="E41" s="466"/>
      <c r="F41" s="468"/>
      <c r="G41" s="466"/>
      <c r="H41" s="466"/>
      <c r="I41" s="466" t="s">
        <v>316</v>
      </c>
    </row>
    <row r="42" spans="3:10" hidden="1" x14ac:dyDescent="0.2">
      <c r="C42" s="364" t="s">
        <v>294</v>
      </c>
      <c r="D42" s="466"/>
      <c r="E42" s="466"/>
      <c r="F42" s="466"/>
      <c r="G42" s="466"/>
      <c r="H42" s="466"/>
      <c r="I42" s="466" t="s">
        <v>316</v>
      </c>
    </row>
    <row r="43" spans="3:10" hidden="1" x14ac:dyDescent="0.2">
      <c r="C43" s="364" t="s">
        <v>293</v>
      </c>
      <c r="D43" s="470"/>
      <c r="E43" s="466"/>
      <c r="F43" s="470"/>
      <c r="G43" s="470"/>
      <c r="H43" s="466"/>
      <c r="I43" s="470" t="s">
        <v>316</v>
      </c>
    </row>
    <row r="44" spans="3:10" hidden="1" x14ac:dyDescent="0.2">
      <c r="C44" s="364" t="s">
        <v>295</v>
      </c>
      <c r="D44" s="470"/>
      <c r="E44" s="470"/>
      <c r="F44" s="470"/>
      <c r="G44" s="470"/>
      <c r="H44" s="470"/>
      <c r="I44" s="470" t="s">
        <v>316</v>
      </c>
    </row>
    <row r="45" spans="3:10" hidden="1" x14ac:dyDescent="0.2"/>
    <row r="46" spans="3:10" ht="15" x14ac:dyDescent="0.25">
      <c r="C46" s="599" t="s">
        <v>308</v>
      </c>
    </row>
    <row r="47" spans="3:10" x14ac:dyDescent="0.2">
      <c r="C47" s="364" t="s">
        <v>13</v>
      </c>
      <c r="G47" s="468"/>
    </row>
    <row r="48" spans="3:10" x14ac:dyDescent="0.2">
      <c r="C48" s="364" t="s">
        <v>10</v>
      </c>
      <c r="D48" s="466">
        <f t="shared" ref="D48:F48" si="7">SUM(D17,D24,D32)</f>
        <v>8078</v>
      </c>
      <c r="E48" s="466">
        <f t="shared" si="7"/>
        <v>7877</v>
      </c>
      <c r="F48" s="466">
        <f t="shared" si="7"/>
        <v>8241</v>
      </c>
      <c r="G48" s="468">
        <f>SUM(G17,G24,G32)</f>
        <v>8045</v>
      </c>
      <c r="H48" s="466">
        <f>SUM(H17,H24,H32)</f>
        <v>8434</v>
      </c>
      <c r="I48" s="466">
        <f>SUM(I17,I24,I32,I40)</f>
        <v>8936</v>
      </c>
      <c r="J48" s="468">
        <f>SUM(J17,J24,J32)</f>
        <v>8924</v>
      </c>
    </row>
    <row r="49" spans="1:10" x14ac:dyDescent="0.2">
      <c r="C49" s="364" t="s">
        <v>292</v>
      </c>
      <c r="D49" s="466">
        <f>SUM(D18+D25+D33)</f>
        <v>788</v>
      </c>
      <c r="E49" s="466">
        <v>731</v>
      </c>
      <c r="F49" s="466">
        <f>SUM(F18+F25+F33)</f>
        <v>750</v>
      </c>
      <c r="G49" s="466">
        <f>SUM(G18+G25+G33)</f>
        <v>766</v>
      </c>
      <c r="H49" s="466">
        <v>731</v>
      </c>
      <c r="I49" s="468">
        <f>SUM(I18,I25,I33)</f>
        <v>838</v>
      </c>
      <c r="J49" s="466">
        <f>SUM(J18+J25+J33)</f>
        <v>873</v>
      </c>
    </row>
    <row r="50" spans="1:10" x14ac:dyDescent="0.2">
      <c r="C50" s="364" t="s">
        <v>294</v>
      </c>
      <c r="D50" s="466">
        <f>D48/D49</f>
        <v>10.251269035532994</v>
      </c>
      <c r="E50" s="466">
        <v>10.585499316005471</v>
      </c>
      <c r="F50" s="466">
        <f>F48/F49</f>
        <v>10.988</v>
      </c>
      <c r="G50" s="466">
        <f>G48/G49</f>
        <v>10.502610966057441</v>
      </c>
      <c r="H50" s="466">
        <v>10.585499316005471</v>
      </c>
      <c r="I50" s="466">
        <f>I48/I49</f>
        <v>10.663484486873509</v>
      </c>
      <c r="J50" s="466">
        <f>J48/J49</f>
        <v>10.222222222222221</v>
      </c>
    </row>
    <row r="51" spans="1:10" x14ac:dyDescent="0.2">
      <c r="C51" s="364" t="s">
        <v>293</v>
      </c>
      <c r="D51" s="466">
        <f t="shared" ref="D51:I51" si="8">SUM(D20,D27,D35)</f>
        <v>657.6</v>
      </c>
      <c r="E51" s="466">
        <f t="shared" si="8"/>
        <v>789.04</v>
      </c>
      <c r="F51" s="466">
        <f t="shared" si="8"/>
        <v>650.4</v>
      </c>
      <c r="G51" s="466">
        <f t="shared" si="8"/>
        <v>638.29999999999995</v>
      </c>
      <c r="H51" s="466">
        <f t="shared" si="8"/>
        <v>541.84000000000106</v>
      </c>
      <c r="I51" s="468">
        <f t="shared" si="8"/>
        <v>716.59999999999991</v>
      </c>
      <c r="J51" s="466">
        <f>SUM(J20,J27,J35)</f>
        <v>740.2</v>
      </c>
    </row>
    <row r="52" spans="1:10" x14ac:dyDescent="0.2">
      <c r="C52" s="364" t="s">
        <v>295</v>
      </c>
      <c r="D52" s="470">
        <f t="shared" ref="D52:J52" si="9">D48/D51</f>
        <v>12.284063260340632</v>
      </c>
      <c r="E52" s="470">
        <f t="shared" si="9"/>
        <v>9.98301733752408</v>
      </c>
      <c r="F52" s="470">
        <f t="shared" si="9"/>
        <v>12.670664206642067</v>
      </c>
      <c r="G52" s="470">
        <f t="shared" si="9"/>
        <v>12.603791320695599</v>
      </c>
      <c r="H52" s="470">
        <f t="shared" si="9"/>
        <v>15.565480584674413</v>
      </c>
      <c r="I52" s="470">
        <f t="shared" si="9"/>
        <v>12.469997209042702</v>
      </c>
      <c r="J52" s="470">
        <f t="shared" si="9"/>
        <v>12.056201026749527</v>
      </c>
    </row>
    <row r="53" spans="1:10" ht="15" x14ac:dyDescent="0.25">
      <c r="C53" s="465"/>
    </row>
    <row r="55" spans="1:10" x14ac:dyDescent="0.2">
      <c r="C55" s="459" t="s">
        <v>137</v>
      </c>
    </row>
    <row r="56" spans="1:10" ht="15" x14ac:dyDescent="0.25">
      <c r="C56" s="465" t="s">
        <v>297</v>
      </c>
    </row>
    <row r="57" spans="1:10" x14ac:dyDescent="0.2">
      <c r="C57" s="364" t="s">
        <v>13</v>
      </c>
      <c r="F57" s="472"/>
      <c r="G57" s="472"/>
    </row>
    <row r="58" spans="1:10" x14ac:dyDescent="0.2">
      <c r="C58" s="364" t="s">
        <v>10</v>
      </c>
      <c r="D58" s="364">
        <v>442</v>
      </c>
      <c r="E58" s="364">
        <v>493</v>
      </c>
      <c r="F58" s="467">
        <v>392</v>
      </c>
      <c r="G58" s="471">
        <v>482</v>
      </c>
      <c r="H58" s="364">
        <v>522</v>
      </c>
      <c r="I58" s="364">
        <v>448</v>
      </c>
      <c r="J58" s="364">
        <v>423</v>
      </c>
    </row>
    <row r="59" spans="1:10" x14ac:dyDescent="0.2">
      <c r="C59" s="364" t="s">
        <v>11</v>
      </c>
      <c r="D59" s="364">
        <v>76</v>
      </c>
      <c r="E59" s="364">
        <v>93</v>
      </c>
      <c r="F59" s="364">
        <v>81</v>
      </c>
      <c r="G59" s="459">
        <v>93</v>
      </c>
      <c r="H59" s="364">
        <v>103</v>
      </c>
      <c r="I59" s="473">
        <v>105.4</v>
      </c>
      <c r="J59" s="364">
        <v>98</v>
      </c>
    </row>
    <row r="60" spans="1:10" x14ac:dyDescent="0.2">
      <c r="C60" s="364" t="s">
        <v>166</v>
      </c>
      <c r="D60" s="466">
        <f t="shared" ref="D60:J60" si="10">D58/D59</f>
        <v>5.8157894736842106</v>
      </c>
      <c r="E60" s="466">
        <f t="shared" si="10"/>
        <v>5.301075268817204</v>
      </c>
      <c r="F60" s="466">
        <f t="shared" si="10"/>
        <v>4.8395061728395063</v>
      </c>
      <c r="G60" s="466">
        <f t="shared" si="10"/>
        <v>5.182795698924731</v>
      </c>
      <c r="H60" s="466">
        <f t="shared" si="10"/>
        <v>5.0679611650485441</v>
      </c>
      <c r="I60" s="466">
        <f t="shared" si="10"/>
        <v>4.2504743833017073</v>
      </c>
      <c r="J60" s="466">
        <f t="shared" si="10"/>
        <v>4.3163265306122449</v>
      </c>
    </row>
    <row r="61" spans="1:10" x14ac:dyDescent="0.2">
      <c r="C61" s="364" t="s">
        <v>188</v>
      </c>
      <c r="D61" s="466">
        <v>39</v>
      </c>
      <c r="E61" s="466">
        <v>48</v>
      </c>
      <c r="F61" s="466">
        <v>48</v>
      </c>
      <c r="G61" s="474">
        <v>41</v>
      </c>
      <c r="H61" s="466">
        <v>45.5</v>
      </c>
      <c r="I61" s="466">
        <v>38</v>
      </c>
      <c r="J61" s="466">
        <v>42</v>
      </c>
    </row>
    <row r="62" spans="1:10" x14ac:dyDescent="0.2">
      <c r="C62" s="364" t="s">
        <v>189</v>
      </c>
      <c r="D62" s="466">
        <v>37</v>
      </c>
      <c r="E62" s="466">
        <v>45</v>
      </c>
      <c r="F62" s="466">
        <v>44</v>
      </c>
      <c r="G62" s="466">
        <v>52</v>
      </c>
      <c r="H62" s="466">
        <v>55.5</v>
      </c>
      <c r="I62" s="466">
        <v>53</v>
      </c>
      <c r="J62" s="466">
        <v>56</v>
      </c>
    </row>
    <row r="63" spans="1:10" x14ac:dyDescent="0.2">
      <c r="C63" s="364" t="s">
        <v>296</v>
      </c>
      <c r="D63" s="466">
        <f>D58/(D61+D62)</f>
        <v>5.8157894736842106</v>
      </c>
      <c r="E63" s="466">
        <v>7</v>
      </c>
      <c r="F63" s="466">
        <v>7</v>
      </c>
      <c r="G63" s="466">
        <v>6</v>
      </c>
      <c r="H63" s="466">
        <f>H58/(H61+H62)</f>
        <v>5.1683168316831685</v>
      </c>
      <c r="I63" s="466">
        <v>5</v>
      </c>
      <c r="J63" s="466">
        <f>J58/(J61+J62)</f>
        <v>4.3163265306122449</v>
      </c>
    </row>
    <row r="64" spans="1:10" x14ac:dyDescent="0.2">
      <c r="A64" s="464"/>
      <c r="G64" s="475"/>
    </row>
    <row r="65" spans="2:10" ht="15" x14ac:dyDescent="0.25">
      <c r="C65" s="465" t="s">
        <v>177</v>
      </c>
      <c r="G65" s="475"/>
    </row>
    <row r="66" spans="2:10" ht="15" x14ac:dyDescent="0.25">
      <c r="C66" s="465" t="s">
        <v>15</v>
      </c>
      <c r="G66" s="475"/>
    </row>
    <row r="67" spans="2:10" x14ac:dyDescent="0.2">
      <c r="C67" s="364" t="s">
        <v>10</v>
      </c>
      <c r="D67" s="466">
        <v>103</v>
      </c>
      <c r="E67" s="466">
        <v>100</v>
      </c>
      <c r="F67" s="466">
        <v>110</v>
      </c>
      <c r="G67" s="475">
        <v>115</v>
      </c>
      <c r="H67" s="466">
        <v>120</v>
      </c>
      <c r="I67" s="466">
        <v>117</v>
      </c>
      <c r="J67" s="466">
        <v>112</v>
      </c>
    </row>
    <row r="68" spans="2:10" x14ac:dyDescent="0.2">
      <c r="C68" s="364" t="s">
        <v>11</v>
      </c>
      <c r="D68" s="466">
        <v>19</v>
      </c>
      <c r="E68" s="466">
        <v>16</v>
      </c>
      <c r="F68" s="466">
        <v>18</v>
      </c>
      <c r="G68" s="475">
        <v>18</v>
      </c>
      <c r="H68" s="466">
        <v>18</v>
      </c>
      <c r="I68" s="466">
        <v>19</v>
      </c>
      <c r="J68" s="466">
        <v>19</v>
      </c>
    </row>
    <row r="69" spans="2:10" x14ac:dyDescent="0.2">
      <c r="C69" s="476" t="s">
        <v>166</v>
      </c>
      <c r="D69" s="477">
        <f>D67/D68</f>
        <v>5.4210526315789478</v>
      </c>
      <c r="E69" s="477">
        <f t="shared" ref="E69:I69" si="11">E67/E68</f>
        <v>6.25</v>
      </c>
      <c r="F69" s="477">
        <f t="shared" si="11"/>
        <v>6.1111111111111107</v>
      </c>
      <c r="G69" s="477">
        <f t="shared" si="11"/>
        <v>6.3888888888888893</v>
      </c>
      <c r="H69" s="477">
        <f t="shared" si="11"/>
        <v>6.666666666666667</v>
      </c>
      <c r="I69" s="477">
        <f t="shared" si="11"/>
        <v>6.1578947368421053</v>
      </c>
      <c r="J69" s="477">
        <f>J67/J68</f>
        <v>5.8947368421052628</v>
      </c>
    </row>
    <row r="70" spans="2:10" x14ac:dyDescent="0.2">
      <c r="G70" s="478"/>
    </row>
    <row r="71" spans="2:10" ht="15" x14ac:dyDescent="0.25">
      <c r="C71" s="479" t="s">
        <v>118</v>
      </c>
      <c r="F71" s="459"/>
      <c r="G71" s="459"/>
    </row>
    <row r="72" spans="2:10" ht="42" customHeight="1" x14ac:dyDescent="0.2">
      <c r="B72" s="480">
        <v>1</v>
      </c>
      <c r="C72" s="598" t="s">
        <v>306</v>
      </c>
    </row>
    <row r="74" spans="2:10" ht="15" x14ac:dyDescent="0.25">
      <c r="C74" s="481" t="s">
        <v>353</v>
      </c>
    </row>
    <row r="75" spans="2:10" x14ac:dyDescent="0.2">
      <c r="C75" s="481"/>
    </row>
    <row r="76" spans="2:10" ht="9" customHeight="1" x14ac:dyDescent="0.2"/>
    <row r="77" spans="2:10" x14ac:dyDescent="0.2">
      <c r="B77" s="602"/>
      <c r="C77" s="602"/>
    </row>
  </sheetData>
  <mergeCells count="3">
    <mergeCell ref="G2:J2"/>
    <mergeCell ref="A7:C7"/>
    <mergeCell ref="D12:J12"/>
  </mergeCells>
  <phoneticPr fontId="0" type="noConversion"/>
  <printOptions horizontalCentered="1"/>
  <pageMargins left="1" right="1" top="1" bottom="1" header="0.5" footer="0.43"/>
  <pageSetup scale="60" orientation="portrait" r:id="rId1"/>
  <headerFooter alignWithMargins="0"/>
  <ignoredErrors>
    <ignoredError sqref="I48:I5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2</xdr:col>
                <xdr:colOff>238125</xdr:colOff>
                <xdr:row>2</xdr:row>
                <xdr:rowOff>171450</xdr:rowOff>
              </to>
            </anchor>
          </objectPr>
        </oleObject>
      </mc:Choice>
      <mc:Fallback>
        <oleObject progId="MSPhotoEd.3" shapeId="307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theme="9" tint="0.59999389629810485"/>
    <pageSetUpPr fitToPage="1"/>
  </sheetPr>
  <dimension ref="B3:N65"/>
  <sheetViews>
    <sheetView zoomScaleNormal="100" zoomScaleSheetLayoutView="85" workbookViewId="0">
      <selection activeCell="L5" sqref="L5"/>
    </sheetView>
  </sheetViews>
  <sheetFormatPr defaultColWidth="9.140625" defaultRowHeight="12.75" x14ac:dyDescent="0.2"/>
  <cols>
    <col min="1" max="1" width="2.7109375" style="280" customWidth="1"/>
    <col min="2" max="2" width="7.140625" style="280" customWidth="1"/>
    <col min="3" max="3" width="2" style="280" customWidth="1"/>
    <col min="4" max="4" width="30" style="280" customWidth="1"/>
    <col min="5" max="5" width="12" style="280" customWidth="1"/>
    <col min="6" max="6" width="11.85546875" style="280" customWidth="1"/>
    <col min="7" max="7" width="9.140625" style="280"/>
    <col min="8" max="8" width="8.7109375" style="280" customWidth="1"/>
    <col min="9" max="16384" width="9.140625" style="280"/>
  </cols>
  <sheetData>
    <row r="3" spans="2:14" x14ac:dyDescent="0.2">
      <c r="J3" s="604" t="s">
        <v>340</v>
      </c>
      <c r="K3" s="604"/>
      <c r="L3" s="604"/>
      <c r="M3" s="604"/>
    </row>
    <row r="5" spans="2:14" ht="9" customHeight="1" x14ac:dyDescent="0.2"/>
    <row r="8" spans="2:14" ht="15.75" x14ac:dyDescent="0.25">
      <c r="B8" s="595">
        <v>3.04</v>
      </c>
      <c r="C8" s="609" t="s">
        <v>364</v>
      </c>
      <c r="D8" s="609"/>
      <c r="E8" s="609"/>
      <c r="F8" s="609"/>
      <c r="G8" s="609"/>
      <c r="H8" s="609"/>
      <c r="I8" s="609"/>
    </row>
    <row r="9" spans="2:14" ht="12.75" customHeight="1" x14ac:dyDescent="0.25">
      <c r="B9" s="595"/>
      <c r="C9" s="596"/>
      <c r="D9" s="596"/>
      <c r="E9" s="596"/>
      <c r="F9" s="596"/>
    </row>
    <row r="11" spans="2:14" ht="12.75" customHeight="1" x14ac:dyDescent="0.2"/>
    <row r="12" spans="2:14" x14ac:dyDescent="0.2">
      <c r="C12" s="483"/>
      <c r="D12" s="483"/>
      <c r="E12" s="484"/>
      <c r="F12" s="484"/>
      <c r="G12" s="484">
        <v>2015</v>
      </c>
      <c r="H12" s="484">
        <v>2016</v>
      </c>
      <c r="I12" s="484">
        <v>2017</v>
      </c>
      <c r="J12" s="484">
        <v>2018</v>
      </c>
      <c r="K12" s="484">
        <v>2019</v>
      </c>
      <c r="L12" s="484">
        <v>2020</v>
      </c>
      <c r="M12" s="484">
        <v>2021</v>
      </c>
      <c r="N12" s="484">
        <v>2022</v>
      </c>
    </row>
    <row r="13" spans="2:14" x14ac:dyDescent="0.2">
      <c r="G13" s="373"/>
    </row>
    <row r="14" spans="2:14" x14ac:dyDescent="0.2">
      <c r="C14" s="485" t="s">
        <v>190</v>
      </c>
      <c r="G14" s="373"/>
    </row>
    <row r="15" spans="2:14" ht="10.5" customHeight="1" x14ac:dyDescent="0.2">
      <c r="C15" s="486"/>
      <c r="D15" s="485"/>
      <c r="G15" s="373"/>
      <c r="H15" s="373"/>
      <c r="I15" s="373"/>
    </row>
    <row r="16" spans="2:14" ht="14.25" x14ac:dyDescent="0.2">
      <c r="C16" s="349"/>
      <c r="D16" s="487" t="s">
        <v>238</v>
      </c>
      <c r="G16" s="369">
        <v>391</v>
      </c>
      <c r="H16" s="369">
        <v>389</v>
      </c>
      <c r="I16" s="369">
        <v>402</v>
      </c>
      <c r="J16" s="369">
        <v>403</v>
      </c>
      <c r="K16" s="369">
        <v>397</v>
      </c>
      <c r="L16" s="369">
        <v>359</v>
      </c>
      <c r="M16" s="600">
        <v>365</v>
      </c>
      <c r="N16" s="369">
        <v>587</v>
      </c>
    </row>
    <row r="17" spans="3:14" x14ac:dyDescent="0.2">
      <c r="D17" s="487" t="s">
        <v>284</v>
      </c>
      <c r="G17" s="369">
        <v>9.5</v>
      </c>
      <c r="H17" s="369">
        <v>9.6</v>
      </c>
      <c r="I17" s="369">
        <v>9.6</v>
      </c>
      <c r="J17" s="369">
        <v>9.1999999999999993</v>
      </c>
      <c r="K17" s="369">
        <v>9.3000000000000007</v>
      </c>
      <c r="L17" s="369">
        <v>8.8000000000000007</v>
      </c>
      <c r="M17" s="600">
        <v>9.1</v>
      </c>
      <c r="N17" s="369">
        <v>8.9</v>
      </c>
    </row>
    <row r="18" spans="3:14" x14ac:dyDescent="0.2">
      <c r="C18" s="349" t="s">
        <v>191</v>
      </c>
      <c r="D18" s="488"/>
      <c r="G18" s="369"/>
      <c r="H18" s="369"/>
      <c r="I18" s="369"/>
      <c r="J18" s="369"/>
      <c r="M18" s="600"/>
    </row>
    <row r="19" spans="3:14" x14ac:dyDescent="0.2">
      <c r="D19" s="487" t="s">
        <v>192</v>
      </c>
      <c r="G19" s="489">
        <v>46</v>
      </c>
      <c r="H19" s="489">
        <v>47.8</v>
      </c>
      <c r="I19" s="489">
        <v>52</v>
      </c>
      <c r="J19" s="489">
        <v>49.1</v>
      </c>
      <c r="K19" s="489">
        <v>47.6</v>
      </c>
      <c r="L19" s="489">
        <v>54.3</v>
      </c>
      <c r="M19" s="600">
        <v>69.3</v>
      </c>
      <c r="N19" s="489">
        <v>59.5</v>
      </c>
    </row>
    <row r="20" spans="3:14" x14ac:dyDescent="0.2">
      <c r="D20" s="487" t="s">
        <v>193</v>
      </c>
      <c r="G20" s="489">
        <v>67.3</v>
      </c>
      <c r="H20" s="489">
        <v>68.099999999999994</v>
      </c>
      <c r="I20" s="489">
        <v>71.400000000000006</v>
      </c>
      <c r="J20" s="489">
        <v>71.7</v>
      </c>
      <c r="K20" s="489">
        <v>67.8</v>
      </c>
      <c r="L20" s="489">
        <v>76</v>
      </c>
      <c r="M20" s="600">
        <v>82.7</v>
      </c>
      <c r="N20" s="489">
        <v>75.8</v>
      </c>
    </row>
    <row r="21" spans="3:14" x14ac:dyDescent="0.2">
      <c r="D21" s="487" t="s">
        <v>204</v>
      </c>
      <c r="G21" s="489">
        <v>48.3</v>
      </c>
      <c r="H21" s="489">
        <v>46.8</v>
      </c>
      <c r="I21" s="489">
        <v>50.7</v>
      </c>
      <c r="J21" s="489">
        <v>54.3</v>
      </c>
      <c r="K21" s="489">
        <v>47.4</v>
      </c>
      <c r="L21" s="489">
        <v>53.8</v>
      </c>
      <c r="M21" s="600">
        <v>63.6</v>
      </c>
      <c r="N21" s="489">
        <v>53.7</v>
      </c>
    </row>
    <row r="22" spans="3:14" ht="15" customHeight="1" x14ac:dyDescent="0.2">
      <c r="D22" s="487" t="s">
        <v>194</v>
      </c>
      <c r="G22" s="489">
        <v>91</v>
      </c>
      <c r="H22" s="489">
        <v>96.7</v>
      </c>
      <c r="I22" s="489">
        <v>94.5</v>
      </c>
      <c r="J22" s="489">
        <v>96</v>
      </c>
      <c r="K22" s="489">
        <v>90.9</v>
      </c>
      <c r="L22" s="489">
        <v>94.2</v>
      </c>
      <c r="M22" s="489">
        <v>96.9</v>
      </c>
      <c r="N22" s="600">
        <v>93.5</v>
      </c>
    </row>
    <row r="23" spans="3:14" x14ac:dyDescent="0.2">
      <c r="C23" s="349"/>
      <c r="D23" s="490" t="s">
        <v>195</v>
      </c>
      <c r="G23" s="489">
        <v>98.2</v>
      </c>
      <c r="H23" s="489">
        <v>99.6</v>
      </c>
      <c r="I23" s="489">
        <v>98.5</v>
      </c>
      <c r="J23" s="489">
        <v>99</v>
      </c>
      <c r="K23" s="489">
        <v>98</v>
      </c>
      <c r="L23" s="489">
        <v>100</v>
      </c>
      <c r="M23" s="489">
        <v>98.9</v>
      </c>
      <c r="N23" s="600">
        <v>99.5</v>
      </c>
    </row>
    <row r="24" spans="3:14" x14ac:dyDescent="0.2">
      <c r="C24" s="349"/>
      <c r="D24" s="490" t="s">
        <v>196</v>
      </c>
      <c r="G24" s="489">
        <v>68.5</v>
      </c>
      <c r="H24" s="489">
        <v>70.400000000000006</v>
      </c>
      <c r="I24" s="489">
        <v>73.400000000000006</v>
      </c>
      <c r="J24" s="489">
        <v>78.2</v>
      </c>
      <c r="K24" s="489">
        <v>73.8</v>
      </c>
      <c r="L24" s="489">
        <v>86.6</v>
      </c>
      <c r="M24" s="600">
        <v>86.8</v>
      </c>
      <c r="N24" s="600">
        <v>76.3</v>
      </c>
    </row>
    <row r="25" spans="3:14" x14ac:dyDescent="0.2">
      <c r="D25" s="490" t="s">
        <v>197</v>
      </c>
      <c r="G25" s="489">
        <v>52.4</v>
      </c>
      <c r="H25" s="489">
        <v>50.4</v>
      </c>
      <c r="I25" s="489">
        <v>52.7</v>
      </c>
      <c r="J25" s="489">
        <v>56.6</v>
      </c>
      <c r="K25" s="489">
        <v>49.4</v>
      </c>
      <c r="L25" s="489">
        <v>56.3</v>
      </c>
      <c r="M25" s="600">
        <v>64.099999999999994</v>
      </c>
      <c r="N25" s="600">
        <v>55.7</v>
      </c>
    </row>
    <row r="26" spans="3:14" x14ac:dyDescent="0.2">
      <c r="G26" s="491"/>
      <c r="H26" s="491"/>
      <c r="I26" s="491"/>
      <c r="J26" s="491"/>
    </row>
    <row r="27" spans="3:14" x14ac:dyDescent="0.2">
      <c r="G27" s="491"/>
      <c r="H27" s="491"/>
      <c r="I27" s="491"/>
      <c r="J27" s="491"/>
      <c r="K27" s="491"/>
      <c r="L27" s="491"/>
    </row>
    <row r="28" spans="3:14" x14ac:dyDescent="0.2">
      <c r="C28" s="485" t="s">
        <v>214</v>
      </c>
      <c r="G28" s="491"/>
      <c r="H28" s="491"/>
      <c r="I28" s="491"/>
      <c r="J28" s="491"/>
      <c r="K28" s="491"/>
      <c r="L28" s="491"/>
    </row>
    <row r="29" spans="3:14" x14ac:dyDescent="0.2">
      <c r="D29" s="485"/>
      <c r="G29" s="491"/>
      <c r="H29" s="491"/>
      <c r="I29" s="491"/>
      <c r="J29" s="491"/>
    </row>
    <row r="30" spans="3:14" ht="15" customHeight="1" x14ac:dyDescent="0.2">
      <c r="D30" s="487" t="s">
        <v>238</v>
      </c>
      <c r="G30" s="369">
        <v>368</v>
      </c>
      <c r="H30" s="369">
        <v>365</v>
      </c>
      <c r="I30" s="369">
        <v>377</v>
      </c>
      <c r="J30" s="369">
        <v>385</v>
      </c>
      <c r="K30" s="369">
        <v>376</v>
      </c>
      <c r="L30" s="369">
        <v>340</v>
      </c>
      <c r="M30" s="369">
        <v>365</v>
      </c>
      <c r="N30" s="369">
        <v>426</v>
      </c>
    </row>
    <row r="31" spans="3:14" x14ac:dyDescent="0.2">
      <c r="C31" s="349"/>
      <c r="D31" s="487" t="s">
        <v>312</v>
      </c>
      <c r="G31" s="489">
        <v>9.6</v>
      </c>
      <c r="H31" s="489">
        <v>9.6999999999999993</v>
      </c>
      <c r="I31" s="489">
        <v>9.6999999999999993</v>
      </c>
      <c r="J31" s="489">
        <v>9.1999999999999993</v>
      </c>
      <c r="K31" s="489">
        <v>9.3000000000000007</v>
      </c>
      <c r="L31" s="489">
        <v>8.8000000000000007</v>
      </c>
      <c r="M31" s="489">
        <v>9.1</v>
      </c>
      <c r="N31" s="489">
        <v>8.9</v>
      </c>
    </row>
    <row r="32" spans="3:14" x14ac:dyDescent="0.2">
      <c r="C32" s="349" t="s">
        <v>191</v>
      </c>
      <c r="D32" s="488"/>
      <c r="G32" s="369"/>
      <c r="H32" s="369"/>
      <c r="I32" s="369"/>
      <c r="J32" s="369"/>
    </row>
    <row r="33" spans="3:14" x14ac:dyDescent="0.2">
      <c r="D33" s="487" t="s">
        <v>192</v>
      </c>
      <c r="G33" s="369">
        <v>45.1</v>
      </c>
      <c r="H33" s="489">
        <v>46</v>
      </c>
      <c r="I33" s="489">
        <v>52.3</v>
      </c>
      <c r="J33" s="489">
        <v>47.5</v>
      </c>
      <c r="K33" s="489">
        <v>46.5</v>
      </c>
      <c r="L33" s="489">
        <v>53.2</v>
      </c>
      <c r="M33" s="489">
        <v>68.2</v>
      </c>
      <c r="N33" s="489">
        <v>51.6</v>
      </c>
    </row>
    <row r="34" spans="3:14" x14ac:dyDescent="0.2">
      <c r="D34" s="487" t="s">
        <v>193</v>
      </c>
      <c r="G34" s="489">
        <v>66</v>
      </c>
      <c r="H34" s="489">
        <v>66.8</v>
      </c>
      <c r="I34" s="489">
        <v>71.400000000000006</v>
      </c>
      <c r="J34" s="489">
        <v>71.2</v>
      </c>
      <c r="K34" s="489">
        <v>66.2</v>
      </c>
      <c r="L34" s="489">
        <v>75</v>
      </c>
      <c r="M34" s="489">
        <v>81.900000000000006</v>
      </c>
      <c r="N34" s="489">
        <v>71.099999999999994</v>
      </c>
    </row>
    <row r="35" spans="3:14" x14ac:dyDescent="0.2">
      <c r="D35" s="487" t="s">
        <v>204</v>
      </c>
      <c r="G35" s="369">
        <v>46.5</v>
      </c>
      <c r="H35" s="369">
        <v>44.9</v>
      </c>
      <c r="I35" s="369">
        <v>50.1</v>
      </c>
      <c r="J35" s="489">
        <v>52.987012987012989</v>
      </c>
      <c r="K35" s="489">
        <v>46</v>
      </c>
      <c r="L35" s="489">
        <v>52.1</v>
      </c>
      <c r="M35" s="489">
        <v>62.7</v>
      </c>
      <c r="N35" s="489">
        <v>44.6</v>
      </c>
    </row>
    <row r="36" spans="3:14" x14ac:dyDescent="0.2">
      <c r="D36" s="487" t="s">
        <v>194</v>
      </c>
      <c r="G36" s="369">
        <v>90.8</v>
      </c>
      <c r="H36" s="369">
        <v>96.4</v>
      </c>
      <c r="I36" s="489">
        <v>95</v>
      </c>
      <c r="J36" s="489">
        <v>95.844155844155836</v>
      </c>
      <c r="K36" s="489">
        <v>90.4</v>
      </c>
      <c r="L36" s="489">
        <v>94.1</v>
      </c>
      <c r="M36" s="489">
        <v>97.1</v>
      </c>
      <c r="N36" s="600">
        <v>94.6</v>
      </c>
    </row>
    <row r="37" spans="3:14" ht="15" customHeight="1" x14ac:dyDescent="0.2">
      <c r="D37" s="490" t="s">
        <v>195</v>
      </c>
      <c r="G37" s="369">
        <v>98.1</v>
      </c>
      <c r="H37" s="369">
        <v>99.2</v>
      </c>
      <c r="I37" s="369">
        <v>99.2</v>
      </c>
      <c r="J37" s="489">
        <v>99</v>
      </c>
      <c r="K37" s="489">
        <v>97.9</v>
      </c>
      <c r="L37" s="489">
        <v>100</v>
      </c>
      <c r="M37" s="489">
        <v>98.8</v>
      </c>
      <c r="N37" s="600">
        <v>99.5</v>
      </c>
    </row>
    <row r="38" spans="3:14" x14ac:dyDescent="0.2">
      <c r="C38" s="349"/>
      <c r="D38" s="490" t="s">
        <v>196</v>
      </c>
      <c r="G38" s="369">
        <v>67.7</v>
      </c>
      <c r="H38" s="369">
        <v>69.599999999999994</v>
      </c>
      <c r="I38" s="369">
        <v>73.7</v>
      </c>
      <c r="J38" s="489">
        <v>77.402597402597394</v>
      </c>
      <c r="K38" s="489">
        <v>72.599999999999994</v>
      </c>
      <c r="L38" s="489">
        <v>86.2</v>
      </c>
      <c r="M38" s="489">
        <v>86.6</v>
      </c>
      <c r="N38" s="489">
        <v>75.8</v>
      </c>
    </row>
    <row r="39" spans="3:14" x14ac:dyDescent="0.2">
      <c r="D39" s="490" t="s">
        <v>197</v>
      </c>
      <c r="G39" s="369">
        <v>50.5</v>
      </c>
      <c r="H39" s="369">
        <v>48.8</v>
      </c>
      <c r="I39" s="369">
        <v>52.3</v>
      </c>
      <c r="J39" s="489">
        <v>55.324675324675326</v>
      </c>
      <c r="K39" s="489">
        <v>48.1</v>
      </c>
      <c r="L39" s="489">
        <v>54.7</v>
      </c>
      <c r="M39" s="489">
        <v>63</v>
      </c>
      <c r="N39" s="489">
        <v>47.2</v>
      </c>
    </row>
    <row r="40" spans="3:14" x14ac:dyDescent="0.2">
      <c r="C40" s="349"/>
      <c r="G40" s="369"/>
      <c r="H40" s="369"/>
      <c r="I40" s="369"/>
      <c r="J40" s="369"/>
      <c r="K40" s="369"/>
      <c r="L40" s="369"/>
    </row>
    <row r="41" spans="3:14" x14ac:dyDescent="0.2">
      <c r="D41" s="485"/>
      <c r="G41" s="369"/>
      <c r="H41" s="369"/>
      <c r="I41" s="369"/>
      <c r="J41" s="369"/>
      <c r="K41" s="369"/>
      <c r="L41" s="369"/>
    </row>
    <row r="42" spans="3:14" x14ac:dyDescent="0.2">
      <c r="C42" s="485" t="s">
        <v>215</v>
      </c>
      <c r="G42" s="369"/>
      <c r="H42" s="369"/>
      <c r="I42" s="369"/>
      <c r="J42" s="369"/>
      <c r="K42" s="369"/>
      <c r="L42" s="369"/>
    </row>
    <row r="43" spans="3:14" x14ac:dyDescent="0.2">
      <c r="D43" s="485"/>
      <c r="G43" s="369"/>
      <c r="H43" s="369"/>
      <c r="I43" s="369"/>
      <c r="J43" s="369"/>
    </row>
    <row r="44" spans="3:14" ht="15" customHeight="1" x14ac:dyDescent="0.2">
      <c r="D44" s="487" t="s">
        <v>238</v>
      </c>
      <c r="G44" s="369">
        <v>23</v>
      </c>
      <c r="H44" s="372">
        <v>24</v>
      </c>
      <c r="I44" s="369">
        <v>25</v>
      </c>
      <c r="J44" s="369">
        <v>18</v>
      </c>
      <c r="K44" s="369">
        <v>21</v>
      </c>
      <c r="L44" s="369">
        <v>19</v>
      </c>
      <c r="M44" s="369">
        <v>22</v>
      </c>
      <c r="N44" s="369">
        <v>33</v>
      </c>
    </row>
    <row r="45" spans="3:14" x14ac:dyDescent="0.2">
      <c r="C45" s="349"/>
      <c r="D45" s="487" t="s">
        <v>312</v>
      </c>
      <c r="G45" s="489">
        <v>8</v>
      </c>
      <c r="H45" s="492">
        <v>8.8000000000000007</v>
      </c>
      <c r="I45" s="489">
        <v>8.4</v>
      </c>
      <c r="J45" s="489">
        <v>8.4</v>
      </c>
      <c r="K45" s="489">
        <v>9.4</v>
      </c>
      <c r="L45" s="489">
        <v>9.1999999999999993</v>
      </c>
      <c r="M45" s="489">
        <v>9.5</v>
      </c>
      <c r="N45" s="489">
        <v>9.3000000000000007</v>
      </c>
    </row>
    <row r="46" spans="3:14" x14ac:dyDescent="0.2">
      <c r="C46" s="349" t="s">
        <v>191</v>
      </c>
      <c r="D46" s="488"/>
      <c r="G46" s="369"/>
      <c r="H46" s="372"/>
      <c r="I46" s="369"/>
      <c r="J46" s="369"/>
    </row>
    <row r="47" spans="3:14" x14ac:dyDescent="0.2">
      <c r="D47" s="487" t="s">
        <v>192</v>
      </c>
      <c r="G47" s="489">
        <v>60.9</v>
      </c>
      <c r="H47" s="492">
        <v>75</v>
      </c>
      <c r="I47" s="489">
        <v>48</v>
      </c>
      <c r="J47" s="489">
        <v>83.3</v>
      </c>
      <c r="K47" s="489">
        <v>66.7</v>
      </c>
      <c r="L47" s="489">
        <v>73.7</v>
      </c>
      <c r="M47" s="489">
        <v>86.4</v>
      </c>
      <c r="N47" s="489">
        <v>63.6</v>
      </c>
    </row>
    <row r="48" spans="3:14" x14ac:dyDescent="0.2">
      <c r="D48" s="487" t="s">
        <v>193</v>
      </c>
      <c r="G48" s="489">
        <v>87</v>
      </c>
      <c r="H48" s="492">
        <v>87.5</v>
      </c>
      <c r="I48" s="489">
        <v>72</v>
      </c>
      <c r="J48" s="489">
        <v>83.3</v>
      </c>
      <c r="K48" s="489">
        <v>95.2</v>
      </c>
      <c r="L48" s="489">
        <v>94.7</v>
      </c>
      <c r="M48" s="489">
        <v>95.5</v>
      </c>
      <c r="N48" s="489">
        <v>75.8</v>
      </c>
    </row>
    <row r="49" spans="2:14" x14ac:dyDescent="0.2">
      <c r="D49" s="487" t="s">
        <v>204</v>
      </c>
      <c r="G49" s="489">
        <v>78.3</v>
      </c>
      <c r="H49" s="492">
        <v>75</v>
      </c>
      <c r="I49" s="489">
        <v>60</v>
      </c>
      <c r="J49" s="489">
        <v>83.3</v>
      </c>
      <c r="K49" s="489">
        <v>71.400000000000006</v>
      </c>
      <c r="L49" s="489">
        <v>84.2</v>
      </c>
      <c r="M49" s="489">
        <v>77.3</v>
      </c>
      <c r="N49" s="489">
        <v>57.6</v>
      </c>
    </row>
    <row r="50" spans="2:14" x14ac:dyDescent="0.2">
      <c r="D50" s="487" t="s">
        <v>194</v>
      </c>
      <c r="G50" s="489">
        <v>95.7</v>
      </c>
      <c r="H50" s="492">
        <v>100</v>
      </c>
      <c r="I50" s="489">
        <v>88</v>
      </c>
      <c r="J50" s="489">
        <v>100</v>
      </c>
      <c r="K50" s="489">
        <v>100</v>
      </c>
      <c r="L50" s="489">
        <v>94.7</v>
      </c>
      <c r="M50" s="489">
        <v>95.5</v>
      </c>
      <c r="N50" s="600">
        <v>100</v>
      </c>
    </row>
    <row r="51" spans="2:14" x14ac:dyDescent="0.2">
      <c r="C51" s="349"/>
      <c r="D51" s="490" t="s">
        <v>195</v>
      </c>
      <c r="G51" s="489">
        <v>100</v>
      </c>
      <c r="H51" s="492">
        <v>100</v>
      </c>
      <c r="I51" s="489">
        <v>88</v>
      </c>
      <c r="J51" s="489">
        <v>100</v>
      </c>
      <c r="K51" s="489">
        <v>100</v>
      </c>
      <c r="L51" s="489">
        <v>100</v>
      </c>
      <c r="M51" s="489">
        <v>100</v>
      </c>
      <c r="N51" s="600">
        <v>100</v>
      </c>
    </row>
    <row r="52" spans="2:14" x14ac:dyDescent="0.2">
      <c r="D52" s="490" t="s">
        <v>196</v>
      </c>
      <c r="G52" s="489">
        <v>82.6</v>
      </c>
      <c r="H52" s="492">
        <v>83.3</v>
      </c>
      <c r="I52" s="489">
        <v>68</v>
      </c>
      <c r="J52" s="489">
        <v>94.4</v>
      </c>
      <c r="K52" s="489">
        <v>84.3</v>
      </c>
      <c r="L52" s="489">
        <v>94.7</v>
      </c>
      <c r="M52" s="489">
        <v>90.9</v>
      </c>
      <c r="N52" s="489">
        <v>81.8</v>
      </c>
    </row>
    <row r="53" spans="2:14" x14ac:dyDescent="0.2">
      <c r="D53" s="490" t="s">
        <v>197</v>
      </c>
      <c r="G53" s="489">
        <v>82.6</v>
      </c>
      <c r="H53" s="492">
        <v>75</v>
      </c>
      <c r="I53" s="489">
        <v>60</v>
      </c>
      <c r="J53" s="489">
        <v>83.3</v>
      </c>
      <c r="K53" s="489">
        <v>56.5</v>
      </c>
      <c r="L53" s="489">
        <v>84.2</v>
      </c>
      <c r="M53" s="489">
        <v>81.8</v>
      </c>
      <c r="N53" s="489">
        <v>60.6</v>
      </c>
    </row>
    <row r="54" spans="2:14" x14ac:dyDescent="0.2">
      <c r="C54" s="493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</row>
    <row r="55" spans="2:14" x14ac:dyDescent="0.2">
      <c r="C55" s="400"/>
      <c r="D55" s="373"/>
      <c r="E55" s="373"/>
      <c r="F55" s="373"/>
      <c r="G55" s="373"/>
    </row>
    <row r="56" spans="2:14" x14ac:dyDescent="0.2">
      <c r="B56" s="373"/>
      <c r="C56" s="400" t="s">
        <v>119</v>
      </c>
      <c r="E56" s="373"/>
      <c r="F56" s="373"/>
      <c r="G56" s="373"/>
    </row>
    <row r="57" spans="2:14" ht="18" customHeight="1" x14ac:dyDescent="0.2">
      <c r="B57" s="373"/>
      <c r="C57" s="401">
        <v>1</v>
      </c>
      <c r="D57" s="621" t="s">
        <v>280</v>
      </c>
      <c r="E57" s="621"/>
      <c r="F57" s="621"/>
      <c r="G57" s="621"/>
      <c r="H57" s="621"/>
    </row>
    <row r="58" spans="2:14" ht="17.25" customHeight="1" x14ac:dyDescent="0.2">
      <c r="B58" s="373"/>
      <c r="C58" s="373"/>
      <c r="D58" s="621" t="s">
        <v>222</v>
      </c>
      <c r="E58" s="621"/>
      <c r="F58" s="621"/>
      <c r="G58" s="621"/>
      <c r="H58" s="621"/>
    </row>
    <row r="59" spans="2:14" x14ac:dyDescent="0.2">
      <c r="B59" s="373"/>
      <c r="C59" s="373"/>
      <c r="D59" s="280" t="s">
        <v>313</v>
      </c>
      <c r="G59" s="373"/>
    </row>
    <row r="60" spans="2:14" x14ac:dyDescent="0.2">
      <c r="B60" s="373"/>
      <c r="C60" s="373"/>
      <c r="G60" s="373"/>
    </row>
    <row r="61" spans="2:14" ht="14.25" x14ac:dyDescent="0.2">
      <c r="B61" s="373"/>
      <c r="C61" s="402"/>
      <c r="D61" s="373" t="s">
        <v>281</v>
      </c>
      <c r="G61" s="373"/>
    </row>
    <row r="62" spans="2:14" ht="14.25" x14ac:dyDescent="0.2">
      <c r="B62" s="373"/>
      <c r="C62" s="402"/>
      <c r="G62" s="373"/>
    </row>
    <row r="63" spans="2:14" ht="14.25" x14ac:dyDescent="0.2">
      <c r="B63" s="373"/>
      <c r="C63" s="402"/>
      <c r="D63" s="373"/>
      <c r="G63" s="373"/>
    </row>
    <row r="64" spans="2:14" ht="9" customHeight="1" x14ac:dyDescent="0.2">
      <c r="B64" s="373"/>
      <c r="C64" s="402"/>
      <c r="D64" s="400"/>
    </row>
    <row r="65" spans="2:6" x14ac:dyDescent="0.2">
      <c r="B65" s="600"/>
      <c r="C65" s="600"/>
      <c r="D65" s="600"/>
      <c r="E65" s="600"/>
      <c r="F65" s="600"/>
    </row>
  </sheetData>
  <mergeCells count="4">
    <mergeCell ref="D57:H57"/>
    <mergeCell ref="D58:H58"/>
    <mergeCell ref="C8:I8"/>
    <mergeCell ref="J3:M3"/>
  </mergeCells>
  <phoneticPr fontId="0" type="noConversion"/>
  <printOptions horizontalCentered="1"/>
  <pageMargins left="0.98425196850393704" right="0.98425196850393704" top="0.98425196850393704" bottom="0.98425196850393704" header="0.51181102362204722" footer="0.43307086614173229"/>
  <pageSetup scale="51" orientation="portrait" r:id="rId1"/>
  <headerFooter alignWithMargins="0"/>
  <colBreaks count="1" manualBreakCount="1">
    <brk id="7" max="63" man="1"/>
  </colBreaks>
  <drawing r:id="rId2"/>
  <legacyDrawing r:id="rId3"/>
  <oleObjects>
    <mc:AlternateContent xmlns:mc="http://schemas.openxmlformats.org/markup-compatibility/2006">
      <mc:Choice Requires="x14">
        <oleObject progId="MSPhotoEd.3" shapeId="2253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95250</xdr:colOff>
                <xdr:row>2</xdr:row>
                <xdr:rowOff>95250</xdr:rowOff>
              </to>
            </anchor>
          </objectPr>
        </oleObject>
      </mc:Choice>
      <mc:Fallback>
        <oleObject progId="MSPhotoEd.3" shapeId="225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3.01a</vt:lpstr>
      <vt:lpstr>3.01b</vt:lpstr>
      <vt:lpstr>3.01c</vt:lpstr>
      <vt:lpstr>3.02a</vt:lpstr>
      <vt:lpstr>3.02b</vt:lpstr>
      <vt:lpstr>3.02c</vt:lpstr>
      <vt:lpstr>3.02d</vt:lpstr>
      <vt:lpstr>3.03</vt:lpstr>
      <vt:lpstr>3.04</vt:lpstr>
      <vt:lpstr>.03a</vt:lpstr>
      <vt:lpstr>.03c</vt:lpstr>
      <vt:lpstr>Rec Exp work(.05)</vt:lpstr>
      <vt:lpstr>3.06a</vt:lpstr>
      <vt:lpstr>.04rold</vt:lpstr>
      <vt:lpstr>3.06b</vt:lpstr>
      <vt:lpstr>.05rc</vt:lpstr>
      <vt:lpstr>3.05</vt:lpstr>
      <vt:lpstr>3.06</vt:lpstr>
      <vt:lpstr>3.07</vt:lpstr>
      <vt:lpstr>.08c&amp;d</vt:lpstr>
      <vt:lpstr>3.07a</vt:lpstr>
      <vt:lpstr>3.07b</vt:lpstr>
      <vt:lpstr>'.04rold'!Print_Area</vt:lpstr>
      <vt:lpstr>'.05rc'!Print_Area</vt:lpstr>
      <vt:lpstr>'.08c&amp;d'!Print_Area</vt:lpstr>
      <vt:lpstr>'3.01a'!Print_Area</vt:lpstr>
      <vt:lpstr>'3.01b'!Print_Area</vt:lpstr>
      <vt:lpstr>'3.01c'!Print_Area</vt:lpstr>
      <vt:lpstr>'3.02a'!Print_Area</vt:lpstr>
      <vt:lpstr>'3.02b'!Print_Area</vt:lpstr>
      <vt:lpstr>'3.02c'!Print_Area</vt:lpstr>
      <vt:lpstr>'3.03'!Print_Area</vt:lpstr>
      <vt:lpstr>'3.04'!Print_Area</vt:lpstr>
      <vt:lpstr>'3.05'!Print_Area</vt:lpstr>
      <vt:lpstr>'3.06'!Print_Area</vt:lpstr>
      <vt:lpstr>'3.06a'!Print_Area</vt:lpstr>
      <vt:lpstr>'3.06b'!Print_Area</vt:lpstr>
      <vt:lpstr>'3.07'!Print_Area</vt:lpstr>
      <vt:lpstr>'Rec Exp work(.05)'!Print_Area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Education &amp; Culture</dc:subject>
  <dc:creator>Economics &amp; Statistics Office</dc:creator>
  <cp:lastModifiedBy>Ebanks, Narnia</cp:lastModifiedBy>
  <cp:lastPrinted>2023-08-28T19:20:07Z</cp:lastPrinted>
  <dcterms:created xsi:type="dcterms:W3CDTF">2009-04-08T18:56:19Z</dcterms:created>
  <dcterms:modified xsi:type="dcterms:W3CDTF">2023-08-28T19:21:20Z</dcterms:modified>
</cp:coreProperties>
</file>